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wijland.sharepoint.com/sites/ag-agronomische-innovaties/Gedeelde documenten/AG - Agroforestry/Rekentool Voederhagen/2026.03.24_RekentoolVoederhagen_v1.0/"/>
    </mc:Choice>
  </mc:AlternateContent>
  <xr:revisionPtr revIDLastSave="0" documentId="8_{E4D7BCA3-CD69-4534-BB53-692AFAF70DD2}" xr6:coauthVersionLast="47" xr6:coauthVersionMax="47" xr10:uidLastSave="{00000000-0000-0000-0000-000000000000}"/>
  <bookViews>
    <workbookView xWindow="-110" yWindow="-110" windowWidth="19420" windowHeight="11500" firstSheet="2" activeTab="2" xr2:uid="{1ED96A40-28CD-4C57-93CB-9D905278F85F}"/>
  </bookViews>
  <sheets>
    <sheet name="Instructie" sheetId="5" r:id="rId1"/>
    <sheet name="Samenvatting" sheetId="16" r:id="rId2"/>
    <sheet name="Invoer | Kosten" sheetId="14" r:id="rId3"/>
    <sheet name="Invoer | Baten" sheetId="9" r:id="rId4"/>
    <sheet name="Uitgangspunten" sheetId="1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4" l="1"/>
  <c r="H19" i="14"/>
  <c r="J12" i="14"/>
  <c r="G11" i="9"/>
  <c r="H15" i="14"/>
  <c r="K61" i="14"/>
  <c r="J61" i="14" s="1"/>
  <c r="K60" i="14"/>
  <c r="I61" i="14"/>
  <c r="H61" i="14" s="1"/>
  <c r="G28" i="13"/>
  <c r="E28" i="13" s="1"/>
  <c r="K12" i="14"/>
  <c r="D7" i="13"/>
  <c r="D4" i="13"/>
  <c r="E55" i="13"/>
  <c r="C28" i="13" l="1"/>
  <c r="E27" i="13"/>
  <c r="G27" i="13" s="1"/>
  <c r="F28" i="13"/>
  <c r="D28" i="13" s="1"/>
  <c r="C22" i="16"/>
  <c r="H32" i="9" s="1"/>
  <c r="G32" i="9" s="1"/>
  <c r="H11" i="9"/>
  <c r="I66" i="14"/>
  <c r="H66" i="14" s="1"/>
  <c r="F64" i="14"/>
  <c r="E64" i="14" s="1"/>
  <c r="J60" i="14"/>
  <c r="M61" i="14" s="1"/>
  <c r="N61" i="14" s="1"/>
  <c r="I57" i="14"/>
  <c r="H57" i="14" s="1"/>
  <c r="K55" i="14"/>
  <c r="J55" i="14" s="1"/>
  <c r="K54" i="14" a="1"/>
  <c r="J54" i="14" s="1"/>
  <c r="K49" i="14"/>
  <c r="J49" i="14" s="1"/>
  <c r="M49" i="14" s="1"/>
  <c r="K48" i="14"/>
  <c r="I37" i="14"/>
  <c r="H37" i="14" s="1"/>
  <c r="K32" i="14"/>
  <c r="J32" i="14" s="1"/>
  <c r="K31" i="14"/>
  <c r="J31" i="14" s="1"/>
  <c r="I31" i="14"/>
  <c r="H31" i="14" s="1"/>
  <c r="K30" i="14"/>
  <c r="J30" i="14" s="1"/>
  <c r="D37" i="13"/>
  <c r="G17" i="13"/>
  <c r="G16" i="13"/>
  <c r="G15" i="13"/>
  <c r="K37" i="9"/>
  <c r="L37" i="9" s="1"/>
  <c r="L34" i="9"/>
  <c r="D31" i="9"/>
  <c r="F31" i="9" s="1"/>
  <c r="E30" i="9"/>
  <c r="G22" i="9"/>
  <c r="K21" i="9"/>
  <c r="K22" i="9" s="1"/>
  <c r="L22" i="9" s="1"/>
  <c r="K20" i="9"/>
  <c r="L20" i="9" s="1"/>
  <c r="K19" i="9"/>
  <c r="L19" i="9" s="1"/>
  <c r="K12" i="9"/>
  <c r="L12" i="9" s="1"/>
  <c r="E3" i="9"/>
  <c r="I60" i="14"/>
  <c r="H60" i="14" s="1"/>
  <c r="M50" i="14"/>
  <c r="D34" i="14"/>
  <c r="I24" i="14"/>
  <c r="H24" i="14" s="1"/>
  <c r="K23" i="14"/>
  <c r="J23" i="14" s="1"/>
  <c r="I23" i="14"/>
  <c r="H23" i="14" s="1"/>
  <c r="I22" i="14"/>
  <c r="H22" i="14" s="1"/>
  <c r="I21" i="14"/>
  <c r="H21" i="14" s="1"/>
  <c r="K20" i="14"/>
  <c r="J20" i="14" s="1"/>
  <c r="I20" i="14"/>
  <c r="H20" i="14" s="1"/>
  <c r="I19" i="14"/>
  <c r="K16" i="14"/>
  <c r="J16" i="14" s="1"/>
  <c r="K15" i="14"/>
  <c r="J15" i="14" s="1"/>
  <c r="K14" i="14"/>
  <c r="J14" i="14" s="1"/>
  <c r="K13" i="14"/>
  <c r="J13" i="14" s="1"/>
  <c r="I13" i="14"/>
  <c r="H13" i="14" s="1"/>
  <c r="K11" i="14"/>
  <c r="J11" i="14" s="1"/>
  <c r="I11" i="14"/>
  <c r="H11" i="14" s="1"/>
  <c r="K10" i="14"/>
  <c r="J10" i="14" s="1"/>
  <c r="I10" i="14"/>
  <c r="H10" i="14" s="1"/>
  <c r="F4" i="14"/>
  <c r="H4" i="16" s="1"/>
  <c r="F3" i="14"/>
  <c r="K24" i="14" s="1"/>
  <c r="J48" i="14"/>
  <c r="M48" i="14" s="1"/>
  <c r="O48" i="13"/>
  <c r="N48" i="13"/>
  <c r="M48" i="13"/>
  <c r="L48" i="13"/>
  <c r="K48" i="13"/>
  <c r="D33" i="13"/>
  <c r="J65" i="14"/>
  <c r="J56" i="14"/>
  <c r="J51" i="14"/>
  <c r="G7" i="16"/>
  <c r="G6" i="16"/>
  <c r="H5" i="16"/>
  <c r="G5" i="16"/>
  <c r="G4" i="16"/>
  <c r="G3" i="16"/>
  <c r="J48" i="13"/>
  <c r="M67" i="14"/>
  <c r="N67" i="14" s="1"/>
  <c r="M33" i="14"/>
  <c r="M26" i="14"/>
  <c r="M25" i="14"/>
  <c r="I48" i="13"/>
  <c r="K34" i="9"/>
  <c r="K33" i="9"/>
  <c r="L33" i="9" s="1"/>
  <c r="K32" i="9"/>
  <c r="L32" i="9" s="1"/>
  <c r="H48" i="13"/>
  <c r="G48" i="13"/>
  <c r="K16" i="9"/>
  <c r="L16" i="9" s="1"/>
  <c r="F48" i="13"/>
  <c r="F29" i="13"/>
  <c r="E29" i="13"/>
  <c r="G29" i="13" s="1"/>
  <c r="K4" i="9"/>
  <c r="L4" i="9" s="1"/>
  <c r="I14" i="14"/>
  <c r="H14" i="14" s="1"/>
  <c r="I16" i="14" l="1"/>
  <c r="H16" i="14" s="1"/>
  <c r="I54" i="14"/>
  <c r="H54" i="14" s="1"/>
  <c r="M54" i="14" s="1"/>
  <c r="H30" i="9"/>
  <c r="G30" i="9" s="1"/>
  <c r="K30" i="9" s="1"/>
  <c r="I15" i="14"/>
  <c r="I12" i="14"/>
  <c r="H12" i="14" s="1"/>
  <c r="M12" i="14" s="1"/>
  <c r="I30" i="14"/>
  <c r="H30" i="14" s="1"/>
  <c r="L21" i="9"/>
  <c r="M51" i="14"/>
  <c r="I32" i="14"/>
  <c r="H32" i="14" s="1"/>
  <c r="K57" i="14"/>
  <c r="J57" i="14" s="1"/>
  <c r="M14" i="14"/>
  <c r="C27" i="13"/>
  <c r="M60" i="14"/>
  <c r="N60" i="14" s="1"/>
  <c r="H3" i="16"/>
  <c r="K19" i="14" a="1"/>
  <c r="J19" i="14" s="1"/>
  <c r="G13" i="9"/>
  <c r="K11" i="9"/>
  <c r="F27" i="13"/>
  <c r="D27" i="13" s="1"/>
  <c r="J24" i="14"/>
  <c r="K35" i="14"/>
  <c r="E31" i="9"/>
  <c r="H31" i="9" s="1"/>
  <c r="I40" i="14" l="1"/>
  <c r="K37" i="14"/>
  <c r="J37" i="14" s="1"/>
  <c r="M37" i="14" s="1"/>
  <c r="J35" i="14"/>
  <c r="K22" i="14"/>
  <c r="J22" i="14" s="1"/>
  <c r="K3" i="9"/>
  <c r="K21" i="14"/>
  <c r="J21" i="14" s="1"/>
  <c r="L30" i="9"/>
  <c r="L11" i="9"/>
  <c r="K13" i="9"/>
  <c r="L13" i="9" s="1"/>
  <c r="M19" i="14"/>
  <c r="H40" i="14" s="1"/>
  <c r="K5" i="9" l="1"/>
  <c r="L3" i="9"/>
  <c r="K24" i="9"/>
  <c r="L5" i="9" l="1"/>
  <c r="G15" i="16"/>
  <c r="L24" i="9"/>
  <c r="G16" i="16"/>
  <c r="M13" i="14" l="1"/>
  <c r="M31" i="14"/>
  <c r="M32" i="14"/>
  <c r="M30" i="14"/>
  <c r="M23" i="14"/>
  <c r="M20" i="14"/>
  <c r="M16" i="14"/>
  <c r="M15" i="14"/>
  <c r="M11" i="14"/>
  <c r="M10" i="14"/>
  <c r="M57" i="14" l="1"/>
  <c r="F66" i="14"/>
  <c r="E66" i="14" s="1"/>
  <c r="M24" i="14"/>
  <c r="G36" i="13" l="1"/>
  <c r="I35" i="14" l="1"/>
  <c r="H35" i="14" s="1"/>
  <c r="M35" i="14" s="1"/>
  <c r="K64" i="14"/>
  <c r="M22" i="14"/>
  <c r="I36" i="13"/>
  <c r="D47" i="13"/>
  <c r="N47" i="13" l="1"/>
  <c r="K47" i="13"/>
  <c r="J47" i="13"/>
  <c r="M47" i="13"/>
  <c r="G47" i="13"/>
  <c r="F47" i="13"/>
  <c r="O47" i="13"/>
  <c r="H47" i="13"/>
  <c r="L47" i="13"/>
  <c r="I47" i="13"/>
  <c r="I64" i="14"/>
  <c r="H64" i="14" s="1"/>
  <c r="M64" i="14" s="1"/>
  <c r="N64" i="14" s="1"/>
  <c r="I55" i="14"/>
  <c r="H55" i="14" s="1"/>
  <c r="M55" i="14" s="1"/>
  <c r="K66" i="14"/>
  <c r="J66" i="14" s="1"/>
  <c r="M66" i="14" s="1"/>
  <c r="N66" i="14" s="1"/>
  <c r="J64" i="14"/>
  <c r="M40" i="14"/>
  <c r="G31" i="9"/>
  <c r="K31" i="9" s="1"/>
  <c r="H36" i="13"/>
  <c r="F36" i="13"/>
  <c r="I36" i="14" s="1"/>
  <c r="H36" i="14" s="1"/>
  <c r="M36" i="14" s="1"/>
  <c r="I56" i="14" l="1"/>
  <c r="H56" i="14" s="1"/>
  <c r="M56" i="14" s="1"/>
  <c r="I65" i="14"/>
  <c r="H65" i="14" s="1"/>
  <c r="M65" i="14" s="1"/>
  <c r="N65" i="14" s="1"/>
  <c r="L31" i="9"/>
  <c r="K39" i="9"/>
  <c r="L39" i="9" s="1"/>
  <c r="L21" i="16"/>
  <c r="L19" i="16"/>
  <c r="L16" i="16"/>
  <c r="L12" i="16"/>
  <c r="L15" i="16"/>
  <c r="L18" i="16"/>
  <c r="L20" i="16"/>
  <c r="L14" i="16"/>
  <c r="L17" i="16"/>
  <c r="L13" i="16"/>
  <c r="M69" i="14" l="1"/>
  <c r="M70" i="14" s="1"/>
  <c r="G17" i="16"/>
  <c r="G12" i="16" l="1"/>
  <c r="K19" i="16" s="1"/>
  <c r="K25" i="9"/>
  <c r="K26" i="9" s="1"/>
  <c r="L26" i="9" s="1"/>
  <c r="K18" i="16"/>
  <c r="K16" i="16"/>
  <c r="K21" i="16"/>
  <c r="L11" i="16"/>
  <c r="L25" i="9" l="1"/>
  <c r="K17" i="16"/>
  <c r="G21" i="16"/>
  <c r="K13" i="16"/>
  <c r="K20" i="16"/>
  <c r="K14" i="16"/>
  <c r="K12" i="16"/>
  <c r="K15" i="16"/>
  <c r="M21" i="16"/>
  <c r="M19" i="16"/>
  <c r="M18" i="16"/>
  <c r="M20" i="16"/>
  <c r="M17" i="16"/>
  <c r="M21" i="14" l="1"/>
  <c r="M43" i="14" s="1"/>
  <c r="M44" i="14" s="1"/>
  <c r="K6" i="9" l="1"/>
  <c r="K7" i="9" s="1"/>
  <c r="G11" i="16"/>
  <c r="G20" i="16" s="1"/>
  <c r="G22" i="16" s="1"/>
  <c r="G23" i="16" s="1"/>
  <c r="L6" i="9" l="1"/>
  <c r="L7" i="9"/>
  <c r="K11" i="16"/>
  <c r="N11" i="16" s="1"/>
  <c r="N12" i="16" s="1"/>
  <c r="N13" i="16" s="1"/>
  <c r="N14" i="16" s="1"/>
  <c r="N15" i="16" s="1"/>
  <c r="N16" i="16" s="1"/>
  <c r="N17" i="16" s="1"/>
  <c r="N18" i="16" s="1"/>
  <c r="N19" i="16" s="1"/>
  <c r="N20" i="16" s="1"/>
  <c r="N21" i="16" s="1"/>
  <c r="O11" i="16" l="1"/>
  <c r="O12" i="16" s="1"/>
  <c r="O13" i="16" s="1"/>
  <c r="O14" i="16" s="1"/>
  <c r="O15" i="16" s="1"/>
  <c r="O16" i="16" s="1"/>
  <c r="O17" i="16" s="1"/>
  <c r="O18" i="16" s="1"/>
  <c r="O19" i="16" s="1"/>
  <c r="O20" i="16" s="1"/>
  <c r="O21" i="16" s="1"/>
  <c r="K54" i="14"/>
  <c r="K19"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<sst xmlns="http://schemas.openxmlformats.org/spreadsheetml/2006/main" count="746" uniqueCount="433">
  <si>
    <t>Rekentool Voederhagen</t>
  </si>
  <si>
    <t>versie 1.0, 24 maart 2026</t>
  </si>
  <si>
    <t xml:space="preserve">Met deze rekentool kun je als boer of initiatiefnemer de kosten en baten van de aanplant en het beheer van voederhagen inzichtelijk krijgen op bedrijfsniveau. De tool is ontwikkeld door Wij.land, in samenwerking met Stichting Grondverbond, als onderdeel van project 'Samenwerking in de korte keten voor landschappelijke meerwaarde', medegefinancierd door de Europese Unie en de Provincie Noord-Holland.  Wij.land streeft er naar de rekentool regelmatig te actualiseren. Voor vragen en/of suggesties voor verbeteringen, neem contact op via contact@wij.land ovv Rekentool Voederhagen.
Deze rekentool is gelicenseerd onder een Creative Commons Naamsvermelding-GelijkDelen 4.0 Internationaal-licentie." </t>
  </si>
  <si>
    <t>Zie licentie</t>
  </si>
  <si>
    <t>Leeswijzer: tabbladen</t>
  </si>
  <si>
    <t>legenda</t>
  </si>
  <si>
    <t>Instructie</t>
  </si>
  <si>
    <t>Algemene informatie en gebruikershandleiding</t>
  </si>
  <si>
    <t>In te vullen</t>
  </si>
  <si>
    <t>Samenvatting</t>
  </si>
  <si>
    <t>Bedrijfsinformatie en resultaat</t>
  </si>
  <si>
    <r>
      <rPr>
        <i/>
        <sz val="11"/>
        <color theme="1"/>
        <rFont val="Montserrat Medium"/>
        <scheme val="minor"/>
      </rPr>
      <t xml:space="preserve">optioneel </t>
    </r>
    <r>
      <rPr>
        <sz val="11"/>
        <color theme="1"/>
        <rFont val="Montserrat Medium"/>
        <family val="2"/>
        <scheme val="minor"/>
      </rPr>
      <t xml:space="preserve">aan te passen </t>
    </r>
  </si>
  <si>
    <t>Invoer | Kosten</t>
  </si>
  <si>
    <t xml:space="preserve">invoer tabel voor de kosten bij aanplant (eenmalig) en kosten voor beheer (jaarlijks) van de voederhagen. </t>
  </si>
  <si>
    <t>herstelwaarden in uitvouwbare kolommen</t>
  </si>
  <si>
    <t>Invoer | Baten</t>
  </si>
  <si>
    <t xml:space="preserve">invoer tabel voor de opbrengsten/vergoedingen bij aanplant (eenmalig) de directe én indirecte opbrengsten bij beheer (jaarlijks). </t>
  </si>
  <si>
    <t>tabel.uitgangspunten</t>
  </si>
  <si>
    <t xml:space="preserve">tabellen met uitgaanspunten waarmee de berekeningen worden gemaakt. </t>
  </si>
  <si>
    <t>wit = niet aanpasbaar</t>
  </si>
  <si>
    <t>Gebruikershandleiding</t>
  </si>
  <si>
    <t>1) maak een kopie van dit bestand met de naam van de boer/het project in de titel. Er is ter illustratie een referentiesituatie/voorbeeld ingevuld, deze dient met de stappen hieronder overschreven te worden.</t>
  </si>
  <si>
    <t>--&gt; Ga naar tabblad Invoer | Kosten</t>
  </si>
  <si>
    <r>
      <rPr>
        <sz val="11"/>
        <color rgb="FF000000"/>
        <rFont val="Montserrat Medium"/>
        <scheme val="minor"/>
      </rPr>
      <t xml:space="preserve">2) vul de algemene bedrijfsinformatie in de linker tabel van de tabblad Invoer | Kosten. Vul </t>
    </r>
    <r>
      <rPr>
        <i/>
        <sz val="11"/>
        <color rgb="FF000000"/>
        <rFont val="Montserrat Medium"/>
        <scheme val="minor"/>
      </rPr>
      <t>alleen de blauwe</t>
    </r>
    <r>
      <rPr>
        <sz val="11"/>
        <color rgb="FF000000"/>
        <rFont val="Montserrat Medium"/>
        <scheme val="minor"/>
      </rPr>
      <t xml:space="preserve"> cellen. </t>
    </r>
  </si>
  <si>
    <r>
      <t xml:space="preserve">3) Verwerk het plan voor de aanleg van de voederhagen in de tabel </t>
    </r>
    <r>
      <rPr>
        <b/>
        <sz val="11"/>
        <color theme="1"/>
        <rFont val="Montserrat Medium"/>
        <scheme val="minor"/>
      </rPr>
      <t>'AANLEG'</t>
    </r>
    <r>
      <rPr>
        <sz val="11"/>
        <color theme="1"/>
        <rFont val="Montserrat Medium"/>
        <scheme val="minor"/>
      </rPr>
      <t xml:space="preserve"> in Invoer | Kosten. Pas aan waar nodig.</t>
    </r>
  </si>
  <si>
    <t xml:space="preserve">a) Vul het aantal meter per type heg in (enkele/dubbele rij), biologisch/niet-biologisch, en of de heg op termijn gevlochten wordt. Bepaal in overleg het uurloon dat hanteerd wordt voor eigen arbeid, of houd 30 euro/uur aan. </t>
  </si>
  <si>
    <t xml:space="preserve">b) Vul in welk kosten onderdeel zijn van de voorbereiding. Maak een keuze in de blauwe cellen onder voorbereiding. </t>
  </si>
  <si>
    <t xml:space="preserve">c) Vul in welk materiele kosten bij de aanleg komen kijken. Een deel van deze kosten zijn standaard bij elk bedrijf van toepassing, deze kunnen niet worden veranderd. de rest kan wel worden ingevuld, dit zijn de blauwe cellen. </t>
  </si>
  <si>
    <t xml:space="preserve">d) Vul in welk voor- en nawerk wordt gedaan bij de aanleg, en door wie. </t>
  </si>
  <si>
    <t xml:space="preserve">e) Vul in welke soort plantdag wordt ingezet en hoe eventuele lunch wordt verzorgd. </t>
  </si>
  <si>
    <t>f) Pas eventueel de verwachtte uitval van boompjes in het eerste jaar aan, standaard is 15%</t>
  </si>
  <si>
    <t xml:space="preserve">g) Zijn er specifieke dingen anders bij deze boer? Dan kunnen ook de licht blauwe cellen worden aangepast. Wanneer een fout wordt gemaakt, kan de formule/beginwaarde worden hersteld door te verwijzen (=CEL) naar de verstopte cel ernaast daarnaast (gele cel) </t>
  </si>
  <si>
    <r>
      <t>4) Neem het plan voor het beheer van de voederhaag door met de boer en vul de tabel</t>
    </r>
    <r>
      <rPr>
        <b/>
        <sz val="11"/>
        <color theme="1"/>
        <rFont val="Montserrat Medium"/>
        <scheme val="minor"/>
      </rPr>
      <t xml:space="preserve"> 'BEHEER'</t>
    </r>
    <r>
      <rPr>
        <sz val="11"/>
        <color theme="1"/>
        <rFont val="Montserrat Medium"/>
        <scheme val="minor"/>
      </rPr>
      <t xml:space="preserve"> in. Pas aan waar nodig.</t>
    </r>
  </si>
  <si>
    <t xml:space="preserve">a) Vul in welke jaarlijkse algemene kosten gelden voor dit bedrijf. </t>
  </si>
  <si>
    <t xml:space="preserve">b) Vul in welk jaarlijks beheer gaat plaatsvinden op dit bedrijf en of er onderhoudsdagen met vrijwilligers zijn. </t>
  </si>
  <si>
    <t xml:space="preserve">c) Vul in welk kleine en grote onderhoudstaken nodig zijn, en welk soort vrijwilligersdagen daar eventueel bij horen. </t>
  </si>
  <si>
    <t>d) Zijn er specifieke dingen anders bij deze boer? Dan kunnen ook de licht blauwe cellen worden aangepast. Als hier een fout wordt gemaakt kan de formule/beginwaarde worden hersteld door te verwijzen (=CEL) naar de verstopte cel ernaast daarnaast (gele cel).</t>
  </si>
  <si>
    <r>
      <t xml:space="preserve">5) Neem de berekende kosten (kolom </t>
    </r>
    <r>
      <rPr>
        <sz val="11"/>
        <rFont val="Montserrat Medium"/>
        <scheme val="minor"/>
      </rPr>
      <t>M</t>
    </r>
    <r>
      <rPr>
        <sz val="11"/>
        <color theme="1"/>
        <rFont val="Montserrat Medium"/>
        <scheme val="minor"/>
      </rPr>
      <t>) door met de boer, lijkt dit realistisch? Zo nee, controleer het formulier op onvolledigheden of fouten.</t>
    </r>
  </si>
  <si>
    <t xml:space="preserve">--&gt; Ga naar tabblad Invoer | Opbrengsten; </t>
  </si>
  <si>
    <r>
      <t xml:space="preserve">6) Overleg met de boer welk </t>
    </r>
    <r>
      <rPr>
        <b/>
        <sz val="11"/>
        <color theme="1"/>
        <rFont val="Montserrat Medium"/>
        <scheme val="minor"/>
      </rPr>
      <t>eenmalige</t>
    </r>
    <r>
      <rPr>
        <sz val="11"/>
        <color theme="1"/>
        <rFont val="Montserrat Medium"/>
        <scheme val="minor"/>
      </rPr>
      <t xml:space="preserve"> vergoedingen/subsidies beschikbaar zijn en vul deze in de tabel 'eenmalige vergoedingen voor aanleg' in.</t>
    </r>
  </si>
  <si>
    <r>
      <t xml:space="preserve">7) Vul in welke </t>
    </r>
    <r>
      <rPr>
        <b/>
        <sz val="11"/>
        <color theme="1"/>
        <rFont val="Montserrat Medium"/>
        <scheme val="minor"/>
      </rPr>
      <t xml:space="preserve">jaarlijkse </t>
    </r>
    <r>
      <rPr>
        <sz val="11"/>
        <color theme="1"/>
        <rFont val="Montserrat Medium"/>
        <scheme val="minor"/>
      </rPr>
      <t xml:space="preserve">directe vergoedingen beschikbaar zijn in de tabel 'jaarlijkse directe opbrengsten/baten' </t>
    </r>
  </si>
  <si>
    <t xml:space="preserve">8) Maak een inschatting of de verwachtte besparingen dmv de voederhaag voor het bedrijf realistisch zijn of pas aan. </t>
  </si>
  <si>
    <t xml:space="preserve">a) zijn er specifieke dingen anders bij deze boer? dan kunnen ook de licht blauwe cellen worden aangepast. als hier een fout wordt gemaakt kan de formule/beginwaarde worden hersteld door te verwijzen naar de verstopte columne daarnaast (gele cel) </t>
  </si>
  <si>
    <t>9) Neem de berekende totale opbrengsten (kolom K) door met de boer, lijkt dit realistisch? Zo nee, controleer het formulier op onvolledigheden</t>
  </si>
  <si>
    <t>--&gt; Ga naar tabblad Samenvatting</t>
  </si>
  <si>
    <t>10) Neem de samenvatting resultaten door. Voor meer detail zie de verschillende tabbladen</t>
  </si>
  <si>
    <t>bedrijfsinformatie</t>
  </si>
  <si>
    <t>type</t>
  </si>
  <si>
    <t>aantal meter heg</t>
  </si>
  <si>
    <t>aantal bomen / 100 meter</t>
  </si>
  <si>
    <t>dat_int</t>
  </si>
  <si>
    <t xml:space="preserve">datum </t>
  </si>
  <si>
    <t>dubbele rij</t>
  </si>
  <si>
    <t>nm_int</t>
  </si>
  <si>
    <t>adviseur</t>
  </si>
  <si>
    <t>wij wijlander</t>
  </si>
  <si>
    <t>enkele rij</t>
  </si>
  <si>
    <t>nm_boer</t>
  </si>
  <si>
    <t>naam boer</t>
  </si>
  <si>
    <t>pietje paars</t>
  </si>
  <si>
    <t>andere type heg</t>
  </si>
  <si>
    <t>ad_boer</t>
  </si>
  <si>
    <t>adres</t>
  </si>
  <si>
    <t>100 mooilandstraat</t>
  </si>
  <si>
    <t>soorten samenstelling</t>
  </si>
  <si>
    <t>kvk_boer</t>
  </si>
  <si>
    <t>kvk nummer</t>
  </si>
  <si>
    <t>vlechten?</t>
  </si>
  <si>
    <t>bedrijfstype</t>
  </si>
  <si>
    <t>gangbaar / bio / bio-dynamisch</t>
  </si>
  <si>
    <t>biologisch</t>
  </si>
  <si>
    <t>grond</t>
  </si>
  <si>
    <t>grondsoort</t>
  </si>
  <si>
    <t>veen</t>
  </si>
  <si>
    <t>grasland_ha</t>
  </si>
  <si>
    <t>areaal grasland</t>
  </si>
  <si>
    <t>kosten</t>
  </si>
  <si>
    <t>jaren na aanleg</t>
  </si>
  <si>
    <t>opbrengsten</t>
  </si>
  <si>
    <t>indirecte opbrengsten</t>
  </si>
  <si>
    <t>balans</t>
  </si>
  <si>
    <t>balans incl indirecte opbrengsten</t>
  </si>
  <si>
    <t>breakeven line</t>
  </si>
  <si>
    <t>bouwland_ha</t>
  </si>
  <si>
    <t>areaal bouwland</t>
  </si>
  <si>
    <t>kosten voor aanleg</t>
  </si>
  <si>
    <t>bij aanleg</t>
  </si>
  <si>
    <t>natuurgras_ha</t>
  </si>
  <si>
    <t>areaal natuurland</t>
  </si>
  <si>
    <t>jaarlijkse kosten</t>
  </si>
  <si>
    <t>per jaar</t>
  </si>
  <si>
    <t>vee</t>
  </si>
  <si>
    <t>gve / dier</t>
  </si>
  <si>
    <t>nkoe</t>
  </si>
  <si>
    <t xml:space="preserve">melkoeien </t>
  </si>
  <si>
    <t>nvlees</t>
  </si>
  <si>
    <t>volwassen vleesvee</t>
  </si>
  <si>
    <t>betalingen voor aanleg</t>
  </si>
  <si>
    <t>nkalf</t>
  </si>
  <si>
    <t>kalveren</t>
  </si>
  <si>
    <t>directe jaarlijkse uitbetalingen</t>
  </si>
  <si>
    <t>npink</t>
  </si>
  <si>
    <t>pinken</t>
  </si>
  <si>
    <r>
      <rPr>
        <i/>
        <sz val="11"/>
        <color theme="1"/>
        <rFont val="Montserrat Medium"/>
        <scheme val="minor"/>
      </rPr>
      <t xml:space="preserve">indirecte </t>
    </r>
    <r>
      <rPr>
        <sz val="11"/>
        <color theme="1"/>
        <rFont val="Montserrat Medium"/>
        <scheme val="minor"/>
      </rPr>
      <t>opbrengsten en besparingen (vanaf 5 jaar na aanplant)</t>
    </r>
  </si>
  <si>
    <t>nschaap</t>
  </si>
  <si>
    <t>schapen</t>
  </si>
  <si>
    <t>ngeit</t>
  </si>
  <si>
    <t>geiten</t>
  </si>
  <si>
    <t>rendement</t>
  </si>
  <si>
    <t>npaarden</t>
  </si>
  <si>
    <t>paarden</t>
  </si>
  <si>
    <t>nanders</t>
  </si>
  <si>
    <t>anders (gve)</t>
  </si>
  <si>
    <t>bij jaarlijkse kosten</t>
  </si>
  <si>
    <t>gveha</t>
  </si>
  <si>
    <t>gve/ha</t>
  </si>
  <si>
    <t>aantal jaar voor aanleg financieringsgat is terugverdiend</t>
  </si>
  <si>
    <t>jaar</t>
  </si>
  <si>
    <t>afnemer</t>
  </si>
  <si>
    <t>afnemer melk</t>
  </si>
  <si>
    <t>eigen winkel</t>
  </si>
  <si>
    <t>incl indirecte opbrengsten &amp; besparingen</t>
  </si>
  <si>
    <t>toestemming</t>
  </si>
  <si>
    <t xml:space="preserve">data toestemming getekend? </t>
  </si>
  <si>
    <t>ja</t>
  </si>
  <si>
    <t>Notities</t>
  </si>
  <si>
    <t>AANLEG</t>
  </si>
  <si>
    <t>dubbellaags</t>
  </si>
  <si>
    <r>
      <rPr>
        <i/>
        <sz val="11"/>
        <color theme="1"/>
        <rFont val="Montserrat Medium"/>
        <scheme val="minor"/>
      </rPr>
      <t xml:space="preserve">optioneel </t>
    </r>
    <r>
      <rPr>
        <sz val="11"/>
        <color theme="1"/>
        <rFont val="Montserrat Medium"/>
        <family val="2"/>
        <scheme val="minor"/>
      </rPr>
      <t xml:space="preserve">aan te passen 
</t>
    </r>
    <r>
      <rPr>
        <i/>
        <sz val="11"/>
        <color theme="1"/>
        <rFont val="Montserrat Medium"/>
        <scheme val="minor"/>
      </rPr>
      <t>(te herstellen met waardes in verstopte columnen)</t>
    </r>
  </si>
  <si>
    <t>enkellaags</t>
  </si>
  <si>
    <t>\</t>
  </si>
  <si>
    <t>niet biologisch</t>
  </si>
  <si>
    <t>vlechten</t>
  </si>
  <si>
    <t>traief eigen arbeid</t>
  </si>
  <si>
    <t>€/uur</t>
  </si>
  <si>
    <t xml:space="preserve">voorbereiding </t>
  </si>
  <si>
    <t>keuze</t>
  </si>
  <si>
    <t>kosten per stuk</t>
  </si>
  <si>
    <t>aantal stuks</t>
  </si>
  <si>
    <t>ecologische quikscan</t>
  </si>
  <si>
    <t>leges en/of vergunning(en)</t>
  </si>
  <si>
    <t>uren voor vergunning aanvraag</t>
  </si>
  <si>
    <t>basiskosten voorbereiding (advies)</t>
  </si>
  <si>
    <t>basiskosten voorbereiding (ontwerp, boer)</t>
  </si>
  <si>
    <t>aanplant logistiek/voorbereiding</t>
  </si>
  <si>
    <t>boer</t>
  </si>
  <si>
    <t>inkoop van materialen</t>
  </si>
  <si>
    <t>aanleg - materialen</t>
  </si>
  <si>
    <t>kosten per éénheid</t>
  </si>
  <si>
    <t>aantal</t>
  </si>
  <si>
    <t>basiskosten aanleg (bomen &amp; struiken)</t>
  </si>
  <si>
    <t>-</t>
  </si>
  <si>
    <t>stuks</t>
  </si>
  <si>
    <t>biologisch afbreekbaar plantkokers?</t>
  </si>
  <si>
    <t>nee</t>
  </si>
  <si>
    <t>basiskosten aanleg (palen)</t>
  </si>
  <si>
    <t>basiskosten aanleg (schrikdraad)</t>
  </si>
  <si>
    <t>meter</t>
  </si>
  <si>
    <t>schrikdraadaparaat incl. accu?</t>
  </si>
  <si>
    <t xml:space="preserve">klaver- of kruidenmengsel? </t>
  </si>
  <si>
    <t>kilo</t>
  </si>
  <si>
    <t>onkruidbestrijding? (zelf invullen)</t>
  </si>
  <si>
    <t>overige aanlegkosten (zelf invullen)</t>
  </si>
  <si>
    <t>aanleg - uitvoering</t>
  </si>
  <si>
    <t>voor- en nawerk</t>
  </si>
  <si>
    <t>ja/nee</t>
  </si>
  <si>
    <t>type betaalde kracht</t>
  </si>
  <si>
    <t>kosten per uur</t>
  </si>
  <si>
    <t>aantal uren</t>
  </si>
  <si>
    <t>onkruidbestrijding toepassen</t>
  </si>
  <si>
    <t>frezen</t>
  </si>
  <si>
    <t>loonwerker</t>
  </si>
  <si>
    <t>afrasteren</t>
  </si>
  <si>
    <t>overige aanleg arbeid</t>
  </si>
  <si>
    <t>plantdag</t>
  </si>
  <si>
    <t>type plantdag (incl begeleiding)</t>
  </si>
  <si>
    <t>plantdag (10-15 vrijwilligers)</t>
  </si>
  <si>
    <t>grondverbond</t>
  </si>
  <si>
    <t>per dag</t>
  </si>
  <si>
    <t>vaste kosten</t>
  </si>
  <si>
    <t>verzorging arbeid</t>
  </si>
  <si>
    <t>catering lunch</t>
  </si>
  <si>
    <t>persoon-dagen</t>
  </si>
  <si>
    <t>meetellen?</t>
  </si>
  <si>
    <t>verwachte uitval</t>
  </si>
  <si>
    <t>kosten na 1e jaar</t>
  </si>
  <si>
    <t>uitval boompjes, eerste jaar</t>
  </si>
  <si>
    <t>totale verwachte kosten aanleg</t>
  </si>
  <si>
    <t>kosten per 100 meter, aanleg</t>
  </si>
  <si>
    <t>BEHEER</t>
  </si>
  <si>
    <t>jaarlijkse kosten algemeen</t>
  </si>
  <si>
    <t>kosten per 100m per jaar</t>
  </si>
  <si>
    <t>kosten per jaar</t>
  </si>
  <si>
    <t>verlies mestplaatsingsruimte</t>
  </si>
  <si>
    <t>productieverlies gras</t>
  </si>
  <si>
    <t>overige jaarlijkse kosten (zelf invullen)</t>
  </si>
  <si>
    <t>onverziene kosten &amp; arbeid</t>
  </si>
  <si>
    <t>jaarlijks onderhoud</t>
  </si>
  <si>
    <t>uitvoering door</t>
  </si>
  <si>
    <t>aantal keer / jaar</t>
  </si>
  <si>
    <t>aantal / jaar</t>
  </si>
  <si>
    <t>jaarlijkse arbeidsuren</t>
  </si>
  <si>
    <t>uren</t>
  </si>
  <si>
    <t>jaarlijkse onderhoudsdag met vrijwilligers?</t>
  </si>
  <si>
    <t>onderhoudsdag (10-15 vrijwilligers)</t>
  </si>
  <si>
    <t>dagen</t>
  </si>
  <si>
    <t>verzorging onderhoudsdag</t>
  </si>
  <si>
    <t>kleine onderhoudstaken (niet jaarlijks)</t>
  </si>
  <si>
    <t>aantal éénheid in 10 jaar</t>
  </si>
  <si>
    <t>jaarlijks te reserveren</t>
  </si>
  <si>
    <t>totaal te reserveren</t>
  </si>
  <si>
    <t>snoeien met klepelmaaier/heggenschaar</t>
  </si>
  <si>
    <t>keer per 100m</t>
  </si>
  <si>
    <t>afrastering afhalen/opdoen voor/na snoeien</t>
  </si>
  <si>
    <t>uren per keer</t>
  </si>
  <si>
    <t>grote onderhoudstaken (niet jaarlijks)</t>
  </si>
  <si>
    <t>aantal keer in 10 jaar</t>
  </si>
  <si>
    <t>aantal / keer</t>
  </si>
  <si>
    <t>vlechten van hagen (alleen dubbellaags)</t>
  </si>
  <si>
    <t>vlechtdag (10-15 vrijwilligers)</t>
  </si>
  <si>
    <t>verzorging vlechtdag</t>
  </si>
  <si>
    <t>andere grote onderhoud (zelf invullen)</t>
  </si>
  <si>
    <t>jaarlijkse kosten per 100 meter</t>
  </si>
  <si>
    <t>eenmalige vergoeding voor aanleggen</t>
  </si>
  <si>
    <t>vergoeding</t>
  </si>
  <si>
    <t>type vergoeding</t>
  </si>
  <si>
    <t>bedrag</t>
  </si>
  <si>
    <t>totale vergoeding</t>
  </si>
  <si>
    <t>vergoeding per 100 m</t>
  </si>
  <si>
    <t>vergoeding per boom</t>
  </si>
  <si>
    <t>vast bedrag per boom</t>
  </si>
  <si>
    <t>andere eenmalige vergoeding/subsidie (zelf invullen)</t>
  </si>
  <si>
    <t>provincie utrecht</t>
  </si>
  <si>
    <t>totale eenmalige vergoeding</t>
  </si>
  <si>
    <t>totale eenmalige kosten</t>
  </si>
  <si>
    <t>tekort/surplus aanlegkosten</t>
  </si>
  <si>
    <t>jaarlijkse directe opbrengsten/baten</t>
  </si>
  <si>
    <t>pakket</t>
  </si>
  <si>
    <t xml:space="preserve">meetellen? </t>
  </si>
  <si>
    <t>jaarlijkse vergoeding/100m</t>
  </si>
  <si>
    <t>totaal per jaar</t>
  </si>
  <si>
    <t>anlb of snl pakketten</t>
  </si>
  <si>
    <t>knip- en scheerheg anlb 2024 variant l22a</t>
  </si>
  <si>
    <t>andere pakketten &amp; subsidies (zelf invullen)</t>
  </si>
  <si>
    <t>totaal uit pakketten &amp; subsidies</t>
  </si>
  <si>
    <t>vergoedingen vanuit leverancier</t>
  </si>
  <si>
    <t>meetellen</t>
  </si>
  <si>
    <t>jaarlijks melk afgeleverd (l)</t>
  </si>
  <si>
    <t>meerprijs (€ / l)</t>
  </si>
  <si>
    <t>meerprijs melk (zelf invullen)</t>
  </si>
  <si>
    <t>betalingen uit private bronen</t>
  </si>
  <si>
    <t>zelf invullen</t>
  </si>
  <si>
    <t>privaate bron 1</t>
  </si>
  <si>
    <t>privaate bron 2</t>
  </si>
  <si>
    <t>privaate bron 3</t>
  </si>
  <si>
    <t>totaal uit privaate bronen</t>
  </si>
  <si>
    <t>totale directe opbrengsten</t>
  </si>
  <si>
    <t>totale jaarlijkse kosten</t>
  </si>
  <si>
    <t>jaarlijks tekort/surplus</t>
  </si>
  <si>
    <t>jaarlijkse indirecte opbrengsten/besparing vanaf 5 jaar na aanplant</t>
  </si>
  <si>
    <t>type kosten met mogelijke besparing</t>
  </si>
  <si>
    <t>mate van op bedrijf</t>
  </si>
  <si>
    <t>jaarlijkse kosten/gve/jaar</t>
  </si>
  <si>
    <t>totale jaarlijkse kosten op bedrijf</t>
  </si>
  <si>
    <t>verwacht reducterend effect</t>
  </si>
  <si>
    <t>verwachte besparing</t>
  </si>
  <si>
    <t>verwachte besparing per 100 meter</t>
  </si>
  <si>
    <t>veeartskosten</t>
  </si>
  <si>
    <t>hittestress</t>
  </si>
  <si>
    <t>overige kosten rondom diergezondheid</t>
  </si>
  <si>
    <t xml:space="preserve">verbetering grasproductie (droogte/wind/schaduw) </t>
  </si>
  <si>
    <t>andere kosten met verwachte besparing (zelf invullen)</t>
  </si>
  <si>
    <t>gemiddeld aanvullende voederwaarde</t>
  </si>
  <si>
    <t>monitaire waarde van voer (€ / kg d.s.)</t>
  </si>
  <si>
    <t>verwachte jaarlijks opbrengst na 5 jaar (kg d.s. / 100 m)</t>
  </si>
  <si>
    <t>voederwaarde van haag</t>
  </si>
  <si>
    <t>totale besparing uit indirecte opbrengsten</t>
  </si>
  <si>
    <t xml:space="preserve">kostentabel heg </t>
  </si>
  <si>
    <t>lijstjes</t>
  </si>
  <si>
    <t>voorbereiding (algemeen)</t>
  </si>
  <si>
    <t>optioneel/standaard</t>
  </si>
  <si>
    <t>eenheid</t>
  </si>
  <si>
    <t>prijs/eenheid</t>
  </si>
  <si>
    <t>onderbouwing / uitleg</t>
  </si>
  <si>
    <t>biologisch / niet biologisch</t>
  </si>
  <si>
    <t>type boom vergoeding</t>
  </si>
  <si>
    <t>advies</t>
  </si>
  <si>
    <t>optioneel</t>
  </si>
  <si>
    <t>€</t>
  </si>
  <si>
    <t>Mogelijk vergoed via een project. Dit kan worden aangegeven in de opbrengsten, of als een nee aangeven</t>
  </si>
  <si>
    <t>niet vlechten</t>
  </si>
  <si>
    <t>% aankoopkosten bomen</t>
  </si>
  <si>
    <t>uren boer (ontwerp)</t>
  </si>
  <si>
    <t>uur</t>
  </si>
  <si>
    <t>inzet van de boer voor ontwerp, te kwantificeren, uurloon zelf te bepalen</t>
  </si>
  <si>
    <t>vlechten met voorstaanders</t>
  </si>
  <si>
    <t>ecologische quickscan</t>
  </si>
  <si>
    <t>Kan verschillen per locatie, dit bedragen is gangbaar voor een niet-complexe ecologische quickscan</t>
  </si>
  <si>
    <t xml:space="preserve">Afhankelijk van de gemeente. Je kunt eerst een conceptverzoek aanvragen, maar brengt ook weer kosten met zich mee. Het beste is gelijk een vergunningsaanvraag, en daarin wel als stap 1 een gesprek aanvragen. Aanpassingen heen en weer zijn in dit proces vaak wel mogelijk voor de definitieve aanvraag. </t>
  </si>
  <si>
    <t>vergunning regelen</t>
  </si>
  <si>
    <t>optoineel</t>
  </si>
  <si>
    <t>tijd nodig om vergunning aan te vragen</t>
  </si>
  <si>
    <t>standaard</t>
  </si>
  <si>
    <t>zie arbeiderstabel</t>
  </si>
  <si>
    <t>inzet voor aanplan logistiek en voorbereiding, boer zelf of uitbesteden</t>
  </si>
  <si>
    <t>aanleg materialen</t>
  </si>
  <si>
    <t>aantal / 100 meter</t>
  </si>
  <si>
    <t>aantal / 10 bomen</t>
  </si>
  <si>
    <t>plantgoed bio/autochtoon</t>
  </si>
  <si>
    <t>optie a</t>
  </si>
  <si>
    <t>stuk</t>
  </si>
  <si>
    <t>variant voederhaag 4 planten per meter. hoogte 100-125 cm</t>
  </si>
  <si>
    <t>www.koperwiek.com</t>
  </si>
  <si>
    <t>plantgoed niet-bio/autochtoon</t>
  </si>
  <si>
    <t>optie b</t>
  </si>
  <si>
    <t>aantal planten per 100 meter is afhankelijk van gekozen variant, hier nu gekozen voor variant voederhaag</t>
  </si>
  <si>
    <t>heg &amp; landschap</t>
  </si>
  <si>
    <t>schrikdraad</t>
  </si>
  <si>
    <t>m</t>
  </si>
  <si>
    <t>3 x schrikdraad per 100 meter x 2(op 3 hoogtes)</t>
  </si>
  <si>
    <t>www.welkoop.nl</t>
  </si>
  <si>
    <t>palen (afrastering)</t>
  </si>
  <si>
    <t>1 paal per 5 meter, aan beide zijden</t>
  </si>
  <si>
    <t>plantkoker biologisch afbreekbaar</t>
  </si>
  <si>
    <t>https://www.wolfswinkel.nl/groeikokers-biologisch-afbreekbaar/73348/bio-groeibeschermingsnet-125cm-10cmo</t>
  </si>
  <si>
    <t/>
  </si>
  <si>
    <t>schrikdraadapparaat incl. accu</t>
  </si>
  <si>
    <t>vaak heeft de boer dit al wel liggen, dus is optioneel</t>
  </si>
  <si>
    <t>https://www.gallagher.eu/nl_nl/s20li-zonnepaneel-schrikdraadapparaat-incl.-accu-0-2j-solar/350318</t>
  </si>
  <si>
    <t>klavermengsel</t>
  </si>
  <si>
    <t>afhankelijk van mengsel, bijvoorbeeld witte cultuurklaver</t>
  </si>
  <si>
    <t>https://neutkens-webshop.nl/product/witte-cultuurklaver-bio/</t>
  </si>
  <si>
    <t>of wol of andere wijze van onkruidbestrijding</t>
  </si>
  <si>
    <t>arbeidstaken aanplant</t>
  </si>
  <si>
    <t>uren / 100 meter</t>
  </si>
  <si>
    <t>meter / dag (5.5 effectieve uren)</t>
  </si>
  <si>
    <t>bomen / dag (5.5 effectieve uren)</t>
  </si>
  <si>
    <t>extra begeleiders? 0 = nee</t>
  </si>
  <si>
    <t>aantal mensen</t>
  </si>
  <si>
    <t>betaald per</t>
  </si>
  <si>
    <t>vooraf onkruidbestrijding toepassen</t>
  </si>
  <si>
    <t>schaalafhankelijk, doet loonwerker of boer</t>
  </si>
  <si>
    <t>voorbewerken/frezen</t>
  </si>
  <si>
    <t>plantdag (30+ vrijwilligers)</t>
  </si>
  <si>
    <t>dag</t>
  </si>
  <si>
    <t>assumptie dat 30 mensen niet even efficient zijn als 15 mensen, 5.5 effectieve werkuren</t>
  </si>
  <si>
    <t>100 bomen per uur, 4.5 uren per dag + 1 uur voorbereiding/uitloop</t>
  </si>
  <si>
    <t>planten (betaalde arbeid, machinaal)</t>
  </si>
  <si>
    <t>optie c</t>
  </si>
  <si>
    <t>assumptie dat machines worden ingezet voor iig de eerste rij bomen. niet geschikt voor alle gevallen. voorbeeld machine: https://www.damcon.nl/machine/plantmachine-pl-10/</t>
  </si>
  <si>
    <t>voorbereiding plantdagen</t>
  </si>
  <si>
    <t>voorbereiding onderhoudsdagen</t>
  </si>
  <si>
    <t>arbeiders</t>
  </si>
  <si>
    <t>effectieve uren per dag</t>
  </si>
  <si>
    <t>per set van plantdagen</t>
  </si>
  <si>
    <t>per plantdag</t>
  </si>
  <si>
    <t>per set van onderhoudsdagen</t>
  </si>
  <si>
    <t>per onderhoudsdag</t>
  </si>
  <si>
    <t>uren per dag extra begeleiding</t>
  </si>
  <si>
    <t>opmerking</t>
  </si>
  <si>
    <t>onderbouwing/uitleg</t>
  </si>
  <si>
    <t>betaalde arbeid</t>
  </si>
  <si>
    <t>advieseur</t>
  </si>
  <si>
    <t>vrijwilligers</t>
  </si>
  <si>
    <t>incl voorbereiding</t>
  </si>
  <si>
    <t>hoopheggen</t>
  </si>
  <si>
    <t>incl begeleiding plantdag</t>
  </si>
  <si>
    <t>tarief hoopheggen voor 1 plantdag alles inclusief (werving, begeleiding, dag zelf)</t>
  </si>
  <si>
    <t>anders (zelf invullen)</t>
  </si>
  <si>
    <t>verzorging vrijwilligers</t>
  </si>
  <si>
    <t>markt conform</t>
  </si>
  <si>
    <t>geen verzorging arbeid</t>
  </si>
  <si>
    <t>jaarlijkse vervolg en beheer (/100m / jaar) dubbellaags &amp; enkellaags</t>
  </si>
  <si>
    <t>grasland opbrengst k d.s. per 100 meter2</t>
  </si>
  <si>
    <t>euros / kg d.s.</t>
  </si>
  <si>
    <t>jaar 1</t>
  </si>
  <si>
    <t>jaar 2</t>
  </si>
  <si>
    <t>jaar 3</t>
  </si>
  <si>
    <t>jaar 4</t>
  </si>
  <si>
    <t>jaar 5</t>
  </si>
  <si>
    <t>jaar 6</t>
  </si>
  <si>
    <t>jaar 7</t>
  </si>
  <si>
    <t>jaar 8</t>
  </si>
  <si>
    <t>jaar 9</t>
  </si>
  <si>
    <t>jaar 10</t>
  </si>
  <si>
    <t>verwachte groei heg (breedte)</t>
  </si>
  <si>
    <t>meter / 100 meter</t>
  </si>
  <si>
    <t>euros/100 meter</t>
  </si>
  <si>
    <t>productieverlies gras, biologisch</t>
  </si>
  <si>
    <t>productieverlies gras, gangbaar</t>
  </si>
  <si>
    <t>arbeid uren voederhaag</t>
  </si>
  <si>
    <t>uren/100 meter</t>
  </si>
  <si>
    <t>grote vervolg en beheer (/100m / jaar) dubbellaags &amp; enkellaags</t>
  </si>
  <si>
    <t>aantal keer in 10 jaar /100 meter</t>
  </si>
  <si>
    <t>uren per keer / 100 meter</t>
  </si>
  <si>
    <t>vaste kosten per keer</t>
  </si>
  <si>
    <t>extra begelieders? 0 = nee</t>
  </si>
  <si>
    <t>onderhoudsdag (30+ vrijwilligers)</t>
  </si>
  <si>
    <t>op  basis van werkwijze grondverbond</t>
  </si>
  <si>
    <t>geen</t>
  </si>
  <si>
    <t>keer / 100 meter</t>
  </si>
  <si>
    <t>keer</t>
  </si>
  <si>
    <t>met uren erbij voor afrastering af halen en toevoegen</t>
  </si>
  <si>
    <t>vlechtdag (30+ vrijwilligers)</t>
  </si>
  <si>
    <t>op  basis van werkwijze grondverbond (schatting)</t>
  </si>
  <si>
    <t>vlechten (betaalde arbeid)</t>
  </si>
  <si>
    <t>batentabel</t>
  </si>
  <si>
    <t>opties</t>
  </si>
  <si>
    <t>type baat</t>
  </si>
  <si>
    <t>jaren voorbij</t>
  </si>
  <si>
    <t>kg d.s. per 100m per jaar (gemiddeld)</t>
  </si>
  <si>
    <t>euros per eenheid</t>
  </si>
  <si>
    <t>directe opbrengst</t>
  </si>
  <si>
    <t>jaarlijkse opbrengst/meter</t>
  </si>
  <si>
    <t>beheertarieven ANLb RVV</t>
  </si>
  <si>
    <t>knip- en scheerheg anlb 2024 variant l22b</t>
  </si>
  <si>
    <t>jaarlijkse vergoeding knip- en scheerheg snl l01.05</t>
  </si>
  <si>
    <t>SNL tarieven en kostprijzen</t>
  </si>
  <si>
    <t>struweelhaag anlb 2024 l23a</t>
  </si>
  <si>
    <t>optie d</t>
  </si>
  <si>
    <t>struweelhaag snl 2024 l01.06</t>
  </si>
  <si>
    <t>optie e</t>
  </si>
  <si>
    <t>besparing</t>
  </si>
  <si>
    <t>jaarlijkse kosten/koe/jaar</t>
  </si>
  <si>
    <t xml:space="preserve">Natuurverdubbelaars &amp; Wij.land (2025) - Onder de Streep </t>
  </si>
  <si>
    <t>hittestres</t>
  </si>
  <si>
    <t>weinig</t>
  </si>
  <si>
    <t>jaarlijkse kosten/100 koeien</t>
  </si>
  <si>
    <t>Timmerman et al. (2018) WUR - Verkennende studie naar hittestress bij melkvee tijdens weidegang in gematigde klimaatstreken</t>
  </si>
  <si>
    <t>gemiddeld</t>
  </si>
  <si>
    <t>veel</t>
  </si>
  <si>
    <t xml:space="preserve">grasproductie  (droogte/wind/schaduw) </t>
  </si>
  <si>
    <t>N. G. Gregory (2010) The role of shelterbelts in protecting livestock: A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</si>
</sst>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quot;€&quot;\ * #,##0_ ;_ &quot;€&quot;\ * \-#,##0_ ;_ &quot;€&quot;\ * &quot;-&quot;??_ ;_ @_ "/>
    <numFmt numFmtId="165" formatCode="&quot;€&quot;\ #,##0.00"/>
    <numFmt numFmtId="166" formatCode="0.0"/>
    <numFmt numFmtId="167" formatCode="_ &quot;€&quot;\ * #,##0.000_ ;_ &quot;€&quot;\ * \-#,##0.000_ ;_ &quot;€&quot;\ * &quot;-&quot;??_ ;_ @_ "/>
  </numFmts>
  <fonts count="27">
    <font>
      <sz val="11"/>
      <color theme="1"/>
      <name val="Montserrat Medium"/>
      <family val="2"/>
      <scheme val="minor"/>
    </font>
    <font>
      <b/>
      <sz val="11"/>
      <color theme="1"/>
      <name val="Montserrat Medium"/>
      <family val="2"/>
      <scheme val="minor"/>
    </font>
    <font>
      <sz val="11"/>
      <color theme="1"/>
      <name val="Montserrat Medium"/>
      <family val="2"/>
      <scheme val="minor"/>
    </font>
    <font>
      <u/>
      <sz val="11"/>
      <color theme="10"/>
      <name val="Montserrat Medium"/>
      <family val="2"/>
      <scheme val="minor"/>
    </font>
    <font>
      <b/>
      <sz val="11"/>
      <color theme="1"/>
      <name val="Montserrat ExtraBold"/>
    </font>
    <font>
      <sz val="11"/>
      <color theme="1"/>
      <name val="Montserrat SemiBold"/>
    </font>
    <font>
      <sz val="11"/>
      <color theme="1"/>
      <name val="Montserrat Medium"/>
      <scheme val="minor"/>
    </font>
    <font>
      <sz val="11"/>
      <color theme="1"/>
      <name val="Montserrat ExtraBold"/>
    </font>
    <font>
      <b/>
      <sz val="11"/>
      <color theme="1"/>
      <name val="Montserrat Medium"/>
      <scheme val="minor"/>
    </font>
    <font>
      <b/>
      <sz val="14"/>
      <color theme="1"/>
      <name val="Montserrat Medium"/>
      <scheme val="minor"/>
    </font>
    <font>
      <sz val="11"/>
      <color theme="1"/>
      <name val="Montserrat Medium"/>
      <family val="2"/>
    </font>
    <font>
      <b/>
      <sz val="11"/>
      <color theme="1"/>
      <name val="Montserrat SemiBold"/>
    </font>
    <font>
      <b/>
      <sz val="14"/>
      <color theme="1"/>
      <name val="Montserrat ExtraBold"/>
    </font>
    <font>
      <b/>
      <sz val="11"/>
      <color theme="1"/>
      <name val="Montserrat Medium"/>
    </font>
    <font>
      <sz val="11"/>
      <name val="Montserrat Medium"/>
      <family val="2"/>
      <scheme val="minor"/>
    </font>
    <font>
      <sz val="11"/>
      <color rgb="FF000000"/>
      <name val="Montserrat Medium"/>
      <family val="2"/>
      <scheme val="minor"/>
    </font>
    <font>
      <sz val="11"/>
      <name val="Montserrat Medium"/>
      <scheme val="minor"/>
    </font>
    <font>
      <b/>
      <sz val="11"/>
      <name val="Montserrat Medium"/>
      <scheme val="minor"/>
    </font>
    <font>
      <sz val="8"/>
      <name val="Montserrat Medium"/>
      <family val="2"/>
      <scheme val="minor"/>
    </font>
    <font>
      <strike/>
      <sz val="11"/>
      <color theme="1"/>
      <name val="Montserrat Medium"/>
      <family val="2"/>
      <scheme val="minor"/>
    </font>
    <font>
      <i/>
      <sz val="11"/>
      <color theme="1"/>
      <name val="Montserrat Medium"/>
      <scheme val="minor"/>
    </font>
    <font>
      <b/>
      <i/>
      <sz val="11"/>
      <color theme="1"/>
      <name val="Montserrat Medium"/>
      <scheme val="minor"/>
    </font>
    <font>
      <b/>
      <sz val="16"/>
      <color theme="1"/>
      <name val="Montserrat Medium"/>
      <scheme val="minor"/>
    </font>
    <font>
      <sz val="11"/>
      <color rgb="FF000000"/>
      <name val="Montserrat Medium"/>
    </font>
    <font>
      <sz val="11"/>
      <color theme="0"/>
      <name val="Montserrat Medium"/>
      <family val="2"/>
      <scheme val="minor"/>
    </font>
    <font>
      <sz val="11"/>
      <color rgb="FF000000"/>
      <name val="Montserrat Medium"/>
      <scheme val="minor"/>
    </font>
    <font>
      <i/>
      <sz val="11"/>
      <color rgb="FF000000"/>
      <name val="Montserrat Medium"/>
      <scheme val="minor"/>
    </font>
  </fonts>
  <fills count="9">
    <fill>
      <patternFill patternType="none"/>
    </fill>
    <fill>
      <patternFill patternType="gray125"/>
    </fill>
    <fill>
      <patternFill patternType="solid">
        <fgColor theme="2" tint="-9.9978637043366805E-2"/>
        <bgColor indexed="64"/>
      </patternFill>
    </fill>
    <fill>
      <patternFill patternType="solid">
        <fgColor theme="7" tint="0.79998168889431442"/>
        <bgColor indexed="64"/>
      </patternFill>
    </fill>
    <fill>
      <patternFill patternType="solid">
        <fgColor theme="6"/>
        <bgColor indexed="64"/>
      </patternFill>
    </fill>
    <fill>
      <patternFill patternType="solid">
        <fgColor theme="7"/>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39997558519241921"/>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14999847407452621"/>
      </left>
      <right style="thin">
        <color theme="0" tint="-0.14999847407452621"/>
      </right>
      <top style="thin">
        <color indexed="64"/>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thin">
        <color indexed="64"/>
      </bottom>
      <diagonal/>
    </border>
    <border>
      <left style="thin">
        <color theme="0" tint="-0.14999847407452621"/>
      </left>
      <right style="thin">
        <color theme="0" tint="-0.14999847407452621"/>
      </right>
      <top/>
      <bottom style="medium">
        <color indexed="64"/>
      </bottom>
      <diagonal/>
    </border>
    <border>
      <left style="thin">
        <color theme="0" tint="-0.14999847407452621"/>
      </left>
      <right style="thin">
        <color theme="0" tint="-0.14999847407452621"/>
      </right>
      <top style="medium">
        <color indexed="64"/>
      </top>
      <bottom style="medium">
        <color indexed="64"/>
      </bottom>
      <diagonal/>
    </border>
    <border>
      <left style="thin">
        <color theme="0" tint="-0.14999847407452621"/>
      </left>
      <right style="thin">
        <color theme="0" tint="-0.14999847407452621"/>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44" fontId="2" fillId="0" borderId="0" applyFont="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cellStyleXfs>
  <cellXfs count="344">
    <xf numFmtId="0" fontId="0" fillId="0" borderId="0" xfId="0"/>
    <xf numFmtId="0" fontId="3" fillId="0" borderId="0" xfId="2"/>
    <xf numFmtId="0" fontId="0" fillId="2" borderId="0" xfId="0" applyFill="1"/>
    <xf numFmtId="0" fontId="0" fillId="5" borderId="0" xfId="0" applyFill="1" applyAlignment="1">
      <alignment horizontal="center"/>
    </xf>
    <xf numFmtId="0" fontId="4" fillId="4" borderId="19" xfId="0" applyFont="1" applyFill="1" applyBorder="1"/>
    <xf numFmtId="0" fontId="4" fillId="4" borderId="18" xfId="0" applyFont="1" applyFill="1" applyBorder="1" applyAlignment="1">
      <alignment horizontal="center"/>
    </xf>
    <xf numFmtId="0" fontId="0" fillId="3" borderId="21" xfId="0" applyFill="1" applyBorder="1"/>
    <xf numFmtId="0" fontId="0" fillId="3" borderId="0" xfId="0" applyFill="1" applyAlignment="1">
      <alignment horizontal="center"/>
    </xf>
    <xf numFmtId="0" fontId="4" fillId="4" borderId="21" xfId="0" applyFont="1" applyFill="1" applyBorder="1"/>
    <xf numFmtId="0" fontId="0" fillId="2" borderId="21" xfId="0" applyFill="1" applyBorder="1"/>
    <xf numFmtId="0" fontId="0" fillId="2" borderId="0" xfId="0" applyFill="1" applyAlignment="1">
      <alignment horizontal="center"/>
    </xf>
    <xf numFmtId="0" fontId="0" fillId="3" borderId="23" xfId="0" applyFill="1" applyBorder="1"/>
    <xf numFmtId="0" fontId="0" fillId="3" borderId="13" xfId="0" applyFill="1" applyBorder="1" applyAlignment="1">
      <alignment horizontal="center"/>
    </xf>
    <xf numFmtId="0" fontId="6" fillId="3" borderId="21" xfId="0" applyFont="1" applyFill="1" applyBorder="1"/>
    <xf numFmtId="0" fontId="6" fillId="3" borderId="0" xfId="0" applyFont="1" applyFill="1" applyAlignment="1">
      <alignment horizontal="center"/>
    </xf>
    <xf numFmtId="0" fontId="6" fillId="2" borderId="21" xfId="0" applyFont="1" applyFill="1" applyBorder="1"/>
    <xf numFmtId="0" fontId="6" fillId="2" borderId="0" xfId="0" applyFont="1" applyFill="1" applyAlignment="1">
      <alignment horizontal="center"/>
    </xf>
    <xf numFmtId="0" fontId="6" fillId="2" borderId="23" xfId="0" applyFont="1" applyFill="1" applyBorder="1"/>
    <xf numFmtId="0" fontId="6" fillId="2" borderId="13" xfId="0" applyFont="1" applyFill="1" applyBorder="1" applyAlignment="1">
      <alignment horizontal="center"/>
    </xf>
    <xf numFmtId="0" fontId="7" fillId="4" borderId="20" xfId="0" applyFont="1" applyFill="1" applyBorder="1" applyAlignment="1">
      <alignment horizontal="center"/>
    </xf>
    <xf numFmtId="0" fontId="8" fillId="4" borderId="19" xfId="0" applyFont="1" applyFill="1" applyBorder="1"/>
    <xf numFmtId="0" fontId="0" fillId="2" borderId="23" xfId="0" applyFill="1" applyBorder="1"/>
    <xf numFmtId="0" fontId="0" fillId="2" borderId="13" xfId="0" applyFill="1" applyBorder="1" applyAlignment="1">
      <alignment horizontal="center"/>
    </xf>
    <xf numFmtId="0" fontId="7" fillId="4" borderId="19" xfId="0" applyFont="1" applyFill="1" applyBorder="1"/>
    <xf numFmtId="0" fontId="7" fillId="4" borderId="21" xfId="0" applyFont="1" applyFill="1" applyBorder="1"/>
    <xf numFmtId="0" fontId="7" fillId="4" borderId="0" xfId="0" applyFont="1" applyFill="1"/>
    <xf numFmtId="0" fontId="7" fillId="4" borderId="22" xfId="0" applyFont="1" applyFill="1" applyBorder="1"/>
    <xf numFmtId="0" fontId="0" fillId="2" borderId="22" xfId="0" applyFill="1" applyBorder="1"/>
    <xf numFmtId="0" fontId="0" fillId="2" borderId="13" xfId="0" applyFill="1" applyBorder="1"/>
    <xf numFmtId="0" fontId="0" fillId="2" borderId="24" xfId="0" applyFill="1" applyBorder="1"/>
    <xf numFmtId="0" fontId="7" fillId="4" borderId="18" xfId="0" applyFont="1" applyFill="1" applyBorder="1"/>
    <xf numFmtId="0" fontId="7" fillId="4" borderId="20" xfId="0" applyFont="1" applyFill="1" applyBorder="1"/>
    <xf numFmtId="0" fontId="4" fillId="4" borderId="19" xfId="0" applyFont="1" applyFill="1" applyBorder="1" applyAlignment="1">
      <alignment wrapText="1"/>
    </xf>
    <xf numFmtId="0" fontId="4" fillId="4" borderId="18" xfId="0" applyFont="1" applyFill="1" applyBorder="1" applyAlignment="1">
      <alignment wrapText="1"/>
    </xf>
    <xf numFmtId="0" fontId="0" fillId="6" borderId="0" xfId="0" applyFill="1" applyAlignment="1">
      <alignment horizontal="center"/>
    </xf>
    <xf numFmtId="0" fontId="0" fillId="6" borderId="0" xfId="0" applyFill="1"/>
    <xf numFmtId="0" fontId="0" fillId="6" borderId="12" xfId="0" applyFill="1" applyBorder="1"/>
    <xf numFmtId="0" fontId="0" fillId="6" borderId="13" xfId="0" applyFill="1" applyBorder="1"/>
    <xf numFmtId="0" fontId="0" fillId="6" borderId="14" xfId="0" applyFill="1" applyBorder="1"/>
    <xf numFmtId="0" fontId="4" fillId="6" borderId="6" xfId="0" applyFont="1" applyFill="1" applyBorder="1"/>
    <xf numFmtId="0" fontId="7" fillId="6" borderId="7" xfId="0" applyFont="1" applyFill="1" applyBorder="1"/>
    <xf numFmtId="0" fontId="7" fillId="6" borderId="8" xfId="0" applyFont="1" applyFill="1" applyBorder="1"/>
    <xf numFmtId="44" fontId="0" fillId="6" borderId="0" xfId="0" applyNumberFormat="1" applyFill="1"/>
    <xf numFmtId="44" fontId="0" fillId="6" borderId="5" xfId="0" applyNumberFormat="1" applyFill="1" applyBorder="1"/>
    <xf numFmtId="0" fontId="0" fillId="6" borderId="4" xfId="0" applyFill="1" applyBorder="1"/>
    <xf numFmtId="0" fontId="0" fillId="6" borderId="5" xfId="0" applyFill="1" applyBorder="1"/>
    <xf numFmtId="0" fontId="8" fillId="6" borderId="4" xfId="0" applyFont="1" applyFill="1" applyBorder="1"/>
    <xf numFmtId="0" fontId="8" fillId="6" borderId="0" xfId="0" applyFont="1" applyFill="1" applyAlignment="1">
      <alignment horizontal="center"/>
    </xf>
    <xf numFmtId="0" fontId="8" fillId="6" borderId="0" xfId="0" applyFont="1" applyFill="1" applyAlignment="1">
      <alignment horizontal="center" wrapText="1"/>
    </xf>
    <xf numFmtId="0" fontId="8" fillId="6" borderId="5" xfId="0" applyFont="1" applyFill="1" applyBorder="1" applyAlignment="1">
      <alignment horizontal="center" wrapText="1"/>
    </xf>
    <xf numFmtId="44" fontId="0" fillId="6" borderId="0" xfId="0" applyNumberFormat="1" applyFill="1" applyAlignment="1">
      <alignment horizontal="center"/>
    </xf>
    <xf numFmtId="0" fontId="8" fillId="6" borderId="4" xfId="0" applyFont="1" applyFill="1" applyBorder="1" applyAlignment="1">
      <alignment wrapText="1"/>
    </xf>
    <xf numFmtId="0" fontId="0" fillId="6" borderId="5" xfId="0" applyFill="1" applyBorder="1" applyAlignment="1">
      <alignment wrapText="1"/>
    </xf>
    <xf numFmtId="0" fontId="6" fillId="6" borderId="4" xfId="0" applyFont="1" applyFill="1" applyBorder="1"/>
    <xf numFmtId="0" fontId="6" fillId="6" borderId="12" xfId="0" applyFont="1" applyFill="1" applyBorder="1"/>
    <xf numFmtId="0" fontId="7" fillId="6" borderId="6" xfId="0" applyFont="1" applyFill="1" applyBorder="1"/>
    <xf numFmtId="0" fontId="0" fillId="6" borderId="0" xfId="0" applyFill="1" applyAlignment="1">
      <alignment horizontal="center" wrapText="1"/>
    </xf>
    <xf numFmtId="0" fontId="6" fillId="6" borderId="0" xfId="0" applyFont="1" applyFill="1" applyAlignment="1">
      <alignment horizontal="center"/>
    </xf>
    <xf numFmtId="0" fontId="0" fillId="6" borderId="4" xfId="0" applyFill="1" applyBorder="1" applyAlignment="1">
      <alignment horizontal="left" indent="2"/>
    </xf>
    <xf numFmtId="0" fontId="6" fillId="6" borderId="4" xfId="0" applyFont="1" applyFill="1" applyBorder="1" applyAlignment="1">
      <alignment horizontal="left" indent="2"/>
    </xf>
    <xf numFmtId="0" fontId="5" fillId="6" borderId="0" xfId="0" applyFont="1" applyFill="1"/>
    <xf numFmtId="0" fontId="0" fillId="6" borderId="7" xfId="0" applyFill="1" applyBorder="1"/>
    <xf numFmtId="0" fontId="11" fillId="6" borderId="4" xfId="0" applyFont="1" applyFill="1" applyBorder="1" applyAlignment="1">
      <alignment wrapText="1"/>
    </xf>
    <xf numFmtId="0" fontId="1" fillId="6" borderId="0" xfId="0" applyFont="1" applyFill="1" applyAlignment="1">
      <alignment horizontal="center" wrapText="1"/>
    </xf>
    <xf numFmtId="0" fontId="10" fillId="6" borderId="5" xfId="0" applyFont="1" applyFill="1" applyBorder="1"/>
    <xf numFmtId="0" fontId="13" fillId="6" borderId="0" xfId="0" applyFont="1" applyFill="1" applyAlignment="1">
      <alignment horizontal="center"/>
    </xf>
    <xf numFmtId="0" fontId="8" fillId="6" borderId="18" xfId="0" applyFont="1" applyFill="1" applyBorder="1"/>
    <xf numFmtId="0" fontId="5" fillId="6" borderId="13" xfId="0" applyFont="1" applyFill="1" applyBorder="1"/>
    <xf numFmtId="0" fontId="0" fillId="6" borderId="6" xfId="0" applyFill="1" applyBorder="1"/>
    <xf numFmtId="0" fontId="5" fillId="6" borderId="7" xfId="0" applyFont="1" applyFill="1" applyBorder="1"/>
    <xf numFmtId="0" fontId="0" fillId="6" borderId="23" xfId="0" applyFill="1" applyBorder="1"/>
    <xf numFmtId="0" fontId="0" fillId="6" borderId="13" xfId="0" applyFill="1" applyBorder="1" applyAlignment="1">
      <alignment horizontal="center"/>
    </xf>
    <xf numFmtId="0" fontId="0" fillId="6" borderId="24" xfId="0" applyFill="1" applyBorder="1"/>
    <xf numFmtId="0" fontId="0" fillId="6" borderId="21" xfId="0" applyFill="1" applyBorder="1"/>
    <xf numFmtId="0" fontId="0" fillId="6" borderId="0" xfId="0" applyFill="1" applyAlignment="1">
      <alignment wrapText="1"/>
    </xf>
    <xf numFmtId="44" fontId="0" fillId="6" borderId="0" xfId="1" applyFont="1" applyFill="1" applyBorder="1"/>
    <xf numFmtId="166" fontId="0" fillId="6" borderId="13" xfId="0" applyNumberFormat="1" applyFill="1" applyBorder="1"/>
    <xf numFmtId="165" fontId="0" fillId="6" borderId="0" xfId="0" applyNumberFormat="1" applyFill="1" applyAlignment="1">
      <alignment horizontal="center"/>
    </xf>
    <xf numFmtId="0" fontId="0" fillId="6" borderId="22" xfId="0" applyFill="1" applyBorder="1" applyAlignment="1">
      <alignment horizontal="left"/>
    </xf>
    <xf numFmtId="165" fontId="0" fillId="6" borderId="13" xfId="0" applyNumberFormat="1" applyFill="1" applyBorder="1" applyAlignment="1">
      <alignment horizontal="center"/>
    </xf>
    <xf numFmtId="0" fontId="0" fillId="6" borderId="24" xfId="0" applyFill="1" applyBorder="1" applyAlignment="1">
      <alignment horizontal="center"/>
    </xf>
    <xf numFmtId="1" fontId="0" fillId="6" borderId="13" xfId="0" applyNumberFormat="1" applyFill="1" applyBorder="1" applyAlignment="1">
      <alignment horizontal="center"/>
    </xf>
    <xf numFmtId="44" fontId="0" fillId="6" borderId="0" xfId="1" applyFont="1" applyFill="1" applyBorder="1" applyAlignment="1">
      <alignment horizontal="center"/>
    </xf>
    <xf numFmtId="0" fontId="0" fillId="6" borderId="0" xfId="1" applyNumberFormat="1" applyFont="1" applyFill="1" applyBorder="1" applyAlignment="1">
      <alignment horizontal="center"/>
    </xf>
    <xf numFmtId="44" fontId="0" fillId="6" borderId="13" xfId="1" applyFont="1" applyFill="1" applyBorder="1" applyAlignment="1">
      <alignment horizontal="center"/>
    </xf>
    <xf numFmtId="164" fontId="0" fillId="6" borderId="0" xfId="1" applyNumberFormat="1" applyFont="1" applyFill="1" applyBorder="1" applyAlignment="1">
      <alignment horizontal="center"/>
    </xf>
    <xf numFmtId="0" fontId="12" fillId="6" borderId="0" xfId="0" applyFont="1" applyFill="1"/>
    <xf numFmtId="0" fontId="9" fillId="6" borderId="0" xfId="0" applyFont="1" applyFill="1" applyAlignment="1">
      <alignment horizontal="center"/>
    </xf>
    <xf numFmtId="0" fontId="4" fillId="4" borderId="18" xfId="0" applyFont="1" applyFill="1" applyBorder="1" applyAlignment="1">
      <alignment horizontal="center" wrapText="1"/>
    </xf>
    <xf numFmtId="0" fontId="8" fillId="6" borderId="26" xfId="0" applyFont="1" applyFill="1" applyBorder="1" applyAlignment="1">
      <alignment horizontal="center" wrapText="1"/>
    </xf>
    <xf numFmtId="44" fontId="0" fillId="6" borderId="26" xfId="0" applyNumberFormat="1" applyFill="1" applyBorder="1"/>
    <xf numFmtId="0" fontId="0" fillId="6" borderId="27" xfId="0" applyFill="1" applyBorder="1"/>
    <xf numFmtId="0" fontId="1" fillId="6" borderId="25" xfId="0" applyFont="1" applyFill="1" applyBorder="1" applyAlignment="1">
      <alignment horizontal="center" wrapText="1"/>
    </xf>
    <xf numFmtId="44" fontId="0" fillId="6" borderId="26" xfId="0" applyNumberFormat="1" applyFill="1" applyBorder="1" applyAlignment="1">
      <alignment horizontal="center"/>
    </xf>
    <xf numFmtId="0" fontId="0" fillId="4" borderId="18" xfId="0" applyFill="1" applyBorder="1"/>
    <xf numFmtId="44" fontId="8" fillId="6" borderId="0" xfId="0" applyNumberFormat="1" applyFont="1" applyFill="1"/>
    <xf numFmtId="0" fontId="1" fillId="6" borderId="5" xfId="0" applyFont="1" applyFill="1" applyBorder="1"/>
    <xf numFmtId="0" fontId="1" fillId="6" borderId="0" xfId="0" applyFont="1" applyFill="1" applyAlignment="1">
      <alignment horizontal="center"/>
    </xf>
    <xf numFmtId="0" fontId="7" fillId="6" borderId="4" xfId="0" applyFont="1" applyFill="1" applyBorder="1"/>
    <xf numFmtId="44" fontId="0" fillId="5" borderId="0" xfId="0" applyNumberFormat="1" applyFill="1"/>
    <xf numFmtId="0" fontId="17" fillId="6" borderId="0" xfId="0" applyFont="1" applyFill="1" applyAlignment="1">
      <alignment horizontal="center"/>
    </xf>
    <xf numFmtId="44" fontId="8" fillId="6" borderId="26" xfId="0" applyNumberFormat="1" applyFont="1" applyFill="1" applyBorder="1" applyAlignment="1">
      <alignment horizontal="center" wrapText="1"/>
    </xf>
    <xf numFmtId="44" fontId="0" fillId="5" borderId="0" xfId="1" applyFont="1" applyFill="1" applyBorder="1"/>
    <xf numFmtId="0" fontId="0" fillId="5" borderId="0" xfId="0" applyFill="1"/>
    <xf numFmtId="44" fontId="0" fillId="5" borderId="0" xfId="0" applyNumberFormat="1" applyFill="1" applyAlignment="1">
      <alignment horizontal="center"/>
    </xf>
    <xf numFmtId="0" fontId="0" fillId="6" borderId="0" xfId="1" applyNumberFormat="1" applyFont="1" applyFill="1" applyBorder="1"/>
    <xf numFmtId="0" fontId="0" fillId="6" borderId="22" xfId="0" applyFill="1" applyBorder="1"/>
    <xf numFmtId="0" fontId="6" fillId="3" borderId="23" xfId="0" applyFont="1" applyFill="1" applyBorder="1"/>
    <xf numFmtId="0" fontId="6" fillId="3" borderId="13" xfId="0" applyFont="1" applyFill="1" applyBorder="1" applyAlignment="1">
      <alignment horizontal="center"/>
    </xf>
    <xf numFmtId="0" fontId="8" fillId="6" borderId="15" xfId="0" applyFont="1" applyFill="1" applyBorder="1"/>
    <xf numFmtId="44" fontId="0" fillId="6" borderId="16" xfId="1" applyFont="1" applyFill="1" applyBorder="1" applyAlignment="1">
      <alignment horizontal="center"/>
    </xf>
    <xf numFmtId="44" fontId="8" fillId="6" borderId="16" xfId="1" applyFont="1" applyFill="1" applyBorder="1"/>
    <xf numFmtId="0" fontId="8" fillId="6" borderId="16" xfId="0" applyFont="1" applyFill="1" applyBorder="1"/>
    <xf numFmtId="0" fontId="1" fillId="6" borderId="4" xfId="0" applyFont="1" applyFill="1" applyBorder="1"/>
    <xf numFmtId="0" fontId="0" fillId="6" borderId="16" xfId="0" applyFill="1" applyBorder="1"/>
    <xf numFmtId="0" fontId="8" fillId="6" borderId="0" xfId="0" applyFont="1" applyFill="1" applyAlignment="1">
      <alignment wrapText="1"/>
    </xf>
    <xf numFmtId="0" fontId="8" fillId="6" borderId="18" xfId="0" applyFont="1" applyFill="1" applyBorder="1" applyAlignment="1">
      <alignment wrapText="1"/>
    </xf>
    <xf numFmtId="0" fontId="7" fillId="4" borderId="18" xfId="0" applyFont="1" applyFill="1" applyBorder="1" applyAlignment="1">
      <alignment horizontal="center"/>
    </xf>
    <xf numFmtId="0" fontId="8" fillId="6" borderId="6" xfId="0" applyFont="1" applyFill="1" applyBorder="1"/>
    <xf numFmtId="0" fontId="8" fillId="6" borderId="7" xfId="0" applyFont="1" applyFill="1" applyBorder="1"/>
    <xf numFmtId="44" fontId="8" fillId="6" borderId="7" xfId="0" applyNumberFormat="1" applyFont="1" applyFill="1" applyBorder="1"/>
    <xf numFmtId="0" fontId="8" fillId="6" borderId="1" xfId="0" applyFont="1" applyFill="1" applyBorder="1"/>
    <xf numFmtId="0" fontId="8" fillId="6" borderId="2" xfId="0" applyFont="1" applyFill="1" applyBorder="1"/>
    <xf numFmtId="44" fontId="8" fillId="6" borderId="2" xfId="0" applyNumberFormat="1" applyFont="1" applyFill="1" applyBorder="1"/>
    <xf numFmtId="0" fontId="0" fillId="6" borderId="2" xfId="0" applyFill="1" applyBorder="1"/>
    <xf numFmtId="44" fontId="8" fillId="6" borderId="7" xfId="1" applyFont="1" applyFill="1" applyBorder="1" applyAlignment="1">
      <alignment horizontal="center"/>
    </xf>
    <xf numFmtId="44" fontId="8" fillId="6" borderId="7" xfId="1" applyFont="1" applyFill="1" applyBorder="1"/>
    <xf numFmtId="0" fontId="4" fillId="4" borderId="0" xfId="0" applyFont="1" applyFill="1" applyAlignment="1">
      <alignment horizontal="center" wrapText="1"/>
    </xf>
    <xf numFmtId="0" fontId="4" fillId="4" borderId="0" xfId="0" applyFont="1" applyFill="1" applyAlignment="1">
      <alignment horizontal="center"/>
    </xf>
    <xf numFmtId="1" fontId="0" fillId="6" borderId="0" xfId="0" applyNumberFormat="1" applyFill="1" applyAlignment="1">
      <alignment horizontal="center"/>
    </xf>
    <xf numFmtId="0" fontId="3" fillId="6" borderId="22" xfId="2" applyFill="1" applyBorder="1"/>
    <xf numFmtId="0" fontId="7" fillId="4" borderId="0" xfId="0" applyFont="1" applyFill="1" applyAlignment="1">
      <alignment horizontal="center"/>
    </xf>
    <xf numFmtId="0" fontId="1" fillId="4" borderId="18" xfId="0" applyFont="1" applyFill="1" applyBorder="1" applyAlignment="1">
      <alignment horizontal="center"/>
    </xf>
    <xf numFmtId="0" fontId="3" fillId="6" borderId="22" xfId="2" applyFill="1" applyBorder="1" applyAlignment="1"/>
    <xf numFmtId="0" fontId="0" fillId="6" borderId="0" xfId="0" quotePrefix="1" applyFill="1"/>
    <xf numFmtId="0" fontId="8" fillId="6" borderId="0" xfId="0" quotePrefix="1" applyFont="1" applyFill="1"/>
    <xf numFmtId="0" fontId="0" fillId="6" borderId="0" xfId="0" applyFill="1" applyAlignment="1">
      <alignment horizontal="left" indent="1"/>
    </xf>
    <xf numFmtId="0" fontId="8" fillId="6" borderId="0" xfId="0" applyFont="1" applyFill="1"/>
    <xf numFmtId="0" fontId="0" fillId="6" borderId="0" xfId="0" applyFill="1" applyAlignment="1">
      <alignment horizontal="left"/>
    </xf>
    <xf numFmtId="44" fontId="0" fillId="8" borderId="0" xfId="0" applyNumberFormat="1" applyFill="1" applyAlignment="1">
      <alignment horizontal="center"/>
    </xf>
    <xf numFmtId="0" fontId="19" fillId="6" borderId="0" xfId="0" applyFont="1" applyFill="1"/>
    <xf numFmtId="0" fontId="4" fillId="6" borderId="1" xfId="0" applyFont="1" applyFill="1" applyBorder="1"/>
    <xf numFmtId="0" fontId="4" fillId="6" borderId="4" xfId="0" applyFont="1" applyFill="1" applyBorder="1"/>
    <xf numFmtId="0" fontId="8" fillId="6" borderId="12" xfId="0" applyFont="1" applyFill="1" applyBorder="1"/>
    <xf numFmtId="0" fontId="6" fillId="5" borderId="0" xfId="0" applyFont="1" applyFill="1" applyAlignment="1">
      <alignment horizontal="center"/>
    </xf>
    <xf numFmtId="44" fontId="0" fillId="5" borderId="13" xfId="0" applyNumberFormat="1" applyFill="1" applyBorder="1"/>
    <xf numFmtId="44" fontId="0" fillId="6" borderId="13" xfId="0" applyNumberFormat="1" applyFill="1" applyBorder="1"/>
    <xf numFmtId="44" fontId="1" fillId="6" borderId="0" xfId="0" applyNumberFormat="1" applyFont="1" applyFill="1" applyAlignment="1">
      <alignment horizontal="center" wrapText="1"/>
    </xf>
    <xf numFmtId="44" fontId="8" fillId="6" borderId="0" xfId="0" applyNumberFormat="1" applyFont="1" applyFill="1" applyAlignment="1">
      <alignment horizontal="center" wrapText="1"/>
    </xf>
    <xf numFmtId="44" fontId="7" fillId="6" borderId="7" xfId="0" applyNumberFormat="1" applyFont="1" applyFill="1" applyBorder="1"/>
    <xf numFmtId="0" fontId="0" fillId="8" borderId="0" xfId="0" applyFill="1" applyAlignment="1" applyProtection="1">
      <alignment horizontal="center"/>
      <protection locked="0"/>
    </xf>
    <xf numFmtId="0" fontId="0" fillId="8" borderId="0" xfId="0" applyFill="1" applyProtection="1">
      <protection locked="0"/>
    </xf>
    <xf numFmtId="0" fontId="0" fillId="8" borderId="13" xfId="0" applyFill="1" applyBorder="1" applyAlignment="1" applyProtection="1">
      <alignment horizontal="center"/>
      <protection locked="0"/>
    </xf>
    <xf numFmtId="0" fontId="0" fillId="7" borderId="0" xfId="0" applyFill="1" applyAlignment="1" applyProtection="1">
      <alignment horizontal="center"/>
      <protection locked="0"/>
    </xf>
    <xf numFmtId="44" fontId="0" fillId="7" borderId="0" xfId="0" applyNumberFormat="1" applyFill="1" applyAlignment="1" applyProtection="1">
      <alignment horizontal="center"/>
      <protection locked="0"/>
    </xf>
    <xf numFmtId="44" fontId="0" fillId="8" borderId="0" xfId="0" applyNumberFormat="1" applyFill="1" applyAlignment="1" applyProtection="1">
      <alignment horizontal="center"/>
      <protection locked="0"/>
    </xf>
    <xf numFmtId="44" fontId="0" fillId="5" borderId="0" xfId="0" applyNumberFormat="1" applyFill="1" applyAlignment="1" applyProtection="1">
      <alignment horizontal="center"/>
      <protection locked="0"/>
    </xf>
    <xf numFmtId="0" fontId="6" fillId="7" borderId="0" xfId="0" applyFont="1" applyFill="1" applyAlignment="1" applyProtection="1">
      <alignment horizontal="center"/>
      <protection locked="0"/>
    </xf>
    <xf numFmtId="44" fontId="0" fillId="8" borderId="0" xfId="0" applyNumberFormat="1" applyFill="1" applyProtection="1">
      <protection locked="0"/>
    </xf>
    <xf numFmtId="9" fontId="0" fillId="7" borderId="0" xfId="3" applyFont="1" applyFill="1" applyProtection="1">
      <protection locked="0"/>
    </xf>
    <xf numFmtId="44" fontId="8" fillId="6" borderId="7" xfId="1" applyFont="1" applyFill="1" applyBorder="1" applyAlignment="1">
      <alignment horizontal="right"/>
    </xf>
    <xf numFmtId="44" fontId="8" fillId="6" borderId="16" xfId="1" applyFont="1" applyFill="1" applyBorder="1" applyAlignment="1">
      <alignment horizontal="right"/>
    </xf>
    <xf numFmtId="44" fontId="8" fillId="6" borderId="0" xfId="1" applyFont="1" applyFill="1" applyBorder="1" applyAlignment="1">
      <alignment horizontal="right"/>
    </xf>
    <xf numFmtId="0" fontId="14" fillId="6" borderId="0" xfId="0" applyFont="1" applyFill="1" applyAlignment="1">
      <alignment horizontal="center"/>
    </xf>
    <xf numFmtId="0" fontId="16" fillId="6" borderId="0" xfId="0" applyFont="1" applyFill="1" applyAlignment="1">
      <alignment horizontal="center"/>
    </xf>
    <xf numFmtId="0" fontId="14" fillId="8" borderId="0" xfId="0" applyFont="1" applyFill="1" applyAlignment="1" applyProtection="1">
      <alignment horizontal="center"/>
      <protection locked="0"/>
    </xf>
    <xf numFmtId="44" fontId="0" fillId="8" borderId="0" xfId="1" applyFont="1" applyFill="1" applyBorder="1" applyProtection="1">
      <protection locked="0"/>
    </xf>
    <xf numFmtId="0" fontId="16" fillId="8" borderId="0" xfId="0" applyFont="1" applyFill="1" applyAlignment="1" applyProtection="1">
      <alignment horizontal="center"/>
      <protection locked="0"/>
    </xf>
    <xf numFmtId="9" fontId="0" fillId="8" borderId="0" xfId="0" applyNumberFormat="1" applyFill="1" applyAlignment="1" applyProtection="1">
      <alignment horizontal="center"/>
      <protection locked="0"/>
    </xf>
    <xf numFmtId="0" fontId="7" fillId="6" borderId="0" xfId="0" applyFont="1" applyFill="1" applyAlignment="1">
      <alignment horizontal="center"/>
    </xf>
    <xf numFmtId="14" fontId="0" fillId="6" borderId="0" xfId="0" applyNumberFormat="1" applyFill="1" applyAlignment="1">
      <alignment horizontal="center"/>
    </xf>
    <xf numFmtId="9" fontId="0" fillId="6" borderId="0" xfId="0" applyNumberFormat="1" applyFill="1" applyAlignment="1" applyProtection="1">
      <alignment horizontal="center"/>
      <protection locked="0"/>
    </xf>
    <xf numFmtId="0" fontId="0" fillId="6" borderId="0" xfId="0" applyFill="1" applyAlignment="1" applyProtection="1">
      <alignment horizontal="center"/>
      <protection locked="0"/>
    </xf>
    <xf numFmtId="0" fontId="8" fillId="6" borderId="0" xfId="0" applyFont="1" applyFill="1" applyAlignment="1">
      <alignment horizontal="right"/>
    </xf>
    <xf numFmtId="0" fontId="8" fillId="6" borderId="0" xfId="0" applyFont="1" applyFill="1" applyAlignment="1" applyProtection="1">
      <alignment horizontal="right"/>
      <protection locked="0"/>
    </xf>
    <xf numFmtId="0" fontId="8" fillId="6" borderId="0" xfId="0" applyFont="1" applyFill="1" applyAlignment="1">
      <alignment horizontal="right" vertical="center"/>
    </xf>
    <xf numFmtId="9" fontId="0" fillId="5" borderId="0" xfId="0" applyNumberFormat="1" applyFill="1"/>
    <xf numFmtId="164" fontId="0" fillId="5" borderId="0" xfId="0" applyNumberFormat="1" applyFill="1"/>
    <xf numFmtId="164" fontId="0" fillId="7" borderId="0" xfId="0" applyNumberFormat="1" applyFill="1" applyProtection="1">
      <protection locked="0"/>
    </xf>
    <xf numFmtId="164" fontId="0" fillId="8" borderId="0" xfId="0" applyNumberFormat="1" applyFill="1" applyProtection="1">
      <protection locked="0"/>
    </xf>
    <xf numFmtId="164" fontId="0" fillId="7" borderId="0" xfId="1" applyNumberFormat="1" applyFont="1" applyFill="1" applyBorder="1" applyProtection="1">
      <protection locked="0"/>
    </xf>
    <xf numFmtId="164" fontId="0" fillId="8" borderId="0" xfId="1" applyNumberFormat="1" applyFont="1" applyFill="1" applyBorder="1" applyProtection="1">
      <protection locked="0"/>
    </xf>
    <xf numFmtId="164" fontId="8" fillId="6" borderId="0" xfId="0" applyNumberFormat="1" applyFont="1" applyFill="1"/>
    <xf numFmtId="164" fontId="0" fillId="6" borderId="26" xfId="0" applyNumberFormat="1" applyFill="1" applyBorder="1" applyAlignment="1">
      <alignment horizontal="center"/>
    </xf>
    <xf numFmtId="164" fontId="0" fillId="6" borderId="5" xfId="0" applyNumberFormat="1" applyFill="1" applyBorder="1"/>
    <xf numFmtId="164" fontId="8" fillId="6" borderId="26" xfId="0" applyNumberFormat="1" applyFont="1" applyFill="1" applyBorder="1" applyAlignment="1">
      <alignment horizontal="center"/>
    </xf>
    <xf numFmtId="164" fontId="8" fillId="6" borderId="5" xfId="0" applyNumberFormat="1" applyFont="1" applyFill="1" applyBorder="1"/>
    <xf numFmtId="164" fontId="8" fillId="6" borderId="26" xfId="0" applyNumberFormat="1" applyFont="1" applyFill="1" applyBorder="1" applyAlignment="1">
      <alignment horizontal="center" wrapText="1"/>
    </xf>
    <xf numFmtId="164" fontId="6" fillId="6" borderId="5" xfId="0" applyNumberFormat="1" applyFont="1" applyFill="1" applyBorder="1"/>
    <xf numFmtId="164" fontId="8" fillId="6" borderId="29" xfId="0" applyNumberFormat="1" applyFont="1" applyFill="1" applyBorder="1" applyAlignment="1">
      <alignment horizontal="center"/>
    </xf>
    <xf numFmtId="164" fontId="0" fillId="6" borderId="17" xfId="0" applyNumberFormat="1" applyFill="1" applyBorder="1"/>
    <xf numFmtId="164" fontId="8" fillId="6" borderId="30" xfId="0" applyNumberFormat="1" applyFont="1" applyFill="1" applyBorder="1"/>
    <xf numFmtId="164" fontId="0" fillId="6" borderId="3" xfId="0" applyNumberFormat="1" applyFill="1" applyBorder="1"/>
    <xf numFmtId="164" fontId="8" fillId="6" borderId="28" xfId="0" applyNumberFormat="1" applyFont="1" applyFill="1" applyBorder="1"/>
    <xf numFmtId="164" fontId="8" fillId="6" borderId="8" xfId="0" applyNumberFormat="1" applyFont="1" applyFill="1" applyBorder="1"/>
    <xf numFmtId="164" fontId="0" fillId="6" borderId="26" xfId="0" applyNumberFormat="1" applyFill="1" applyBorder="1"/>
    <xf numFmtId="164" fontId="8" fillId="6" borderId="29" xfId="0" applyNumberFormat="1" applyFont="1" applyFill="1" applyBorder="1"/>
    <xf numFmtId="164" fontId="0" fillId="6" borderId="8" xfId="0" applyNumberFormat="1" applyFill="1" applyBorder="1"/>
    <xf numFmtId="164" fontId="0" fillId="6" borderId="0" xfId="0" applyNumberFormat="1" applyFill="1"/>
    <xf numFmtId="164" fontId="0" fillId="7" borderId="0" xfId="0" applyNumberFormat="1" applyFill="1" applyAlignment="1" applyProtection="1">
      <alignment horizontal="center"/>
      <protection locked="0"/>
    </xf>
    <xf numFmtId="164" fontId="0" fillId="6" borderId="27" xfId="0" applyNumberFormat="1" applyFill="1" applyBorder="1"/>
    <xf numFmtId="164" fontId="7" fillId="6" borderId="28" xfId="0" applyNumberFormat="1" applyFont="1" applyFill="1" applyBorder="1"/>
    <xf numFmtId="164" fontId="6" fillId="7" borderId="0" xfId="0" applyNumberFormat="1" applyFont="1" applyFill="1" applyAlignment="1" applyProtection="1">
      <alignment horizontal="center"/>
      <protection locked="0"/>
    </xf>
    <xf numFmtId="0" fontId="8" fillId="6" borderId="25" xfId="0" applyFont="1" applyFill="1" applyBorder="1" applyAlignment="1">
      <alignment horizontal="center" wrapText="1"/>
    </xf>
    <xf numFmtId="0" fontId="0" fillId="6" borderId="2" xfId="0" applyFill="1" applyBorder="1" applyAlignment="1">
      <alignment wrapText="1"/>
    </xf>
    <xf numFmtId="164" fontId="8" fillId="6" borderId="0" xfId="0" applyNumberFormat="1" applyFont="1" applyFill="1" applyAlignment="1">
      <alignment horizontal="center"/>
    </xf>
    <xf numFmtId="44" fontId="6" fillId="6" borderId="0" xfId="0" applyNumberFormat="1" applyFont="1" applyFill="1"/>
    <xf numFmtId="164" fontId="6" fillId="6" borderId="26" xfId="0" applyNumberFormat="1" applyFont="1" applyFill="1" applyBorder="1" applyAlignment="1">
      <alignment horizontal="center"/>
    </xf>
    <xf numFmtId="0" fontId="0" fillId="6" borderId="4" xfId="0" applyFill="1" applyBorder="1" applyAlignment="1">
      <alignment vertical="center"/>
    </xf>
    <xf numFmtId="0" fontId="13" fillId="6" borderId="2" xfId="0" applyFont="1" applyFill="1" applyBorder="1" applyAlignment="1">
      <alignment horizontal="center"/>
    </xf>
    <xf numFmtId="0" fontId="0" fillId="6" borderId="3" xfId="0" applyFill="1" applyBorder="1" applyAlignment="1">
      <alignment wrapText="1"/>
    </xf>
    <xf numFmtId="0" fontId="8" fillId="6" borderId="5" xfId="0" applyFont="1" applyFill="1" applyBorder="1" applyAlignment="1">
      <alignment wrapText="1"/>
    </xf>
    <xf numFmtId="0" fontId="0" fillId="6" borderId="7" xfId="0" applyFill="1" applyBorder="1" applyAlignment="1">
      <alignment horizontal="center"/>
    </xf>
    <xf numFmtId="0" fontId="8" fillId="6" borderId="8" xfId="0" applyFont="1" applyFill="1" applyBorder="1" applyAlignment="1">
      <alignment wrapText="1"/>
    </xf>
    <xf numFmtId="0" fontId="13" fillId="6" borderId="3" xfId="0" applyFont="1" applyFill="1" applyBorder="1" applyAlignment="1">
      <alignment horizontal="center" wrapText="1"/>
    </xf>
    <xf numFmtId="1" fontId="8" fillId="6" borderId="0" xfId="0" applyNumberFormat="1" applyFont="1" applyFill="1"/>
    <xf numFmtId="0" fontId="0" fillId="6" borderId="5" xfId="0" applyFill="1" applyBorder="1" applyAlignment="1">
      <alignment horizontal="center"/>
    </xf>
    <xf numFmtId="0" fontId="14" fillId="6" borderId="5" xfId="0" applyFont="1" applyFill="1" applyBorder="1" applyAlignment="1">
      <alignment horizontal="center"/>
    </xf>
    <xf numFmtId="0" fontId="20" fillId="6" borderId="6" xfId="0" applyFont="1" applyFill="1" applyBorder="1" applyAlignment="1">
      <alignment horizontal="left" indent="2"/>
    </xf>
    <xf numFmtId="1" fontId="21" fillId="6" borderId="7" xfId="0" applyNumberFormat="1" applyFont="1" applyFill="1" applyBorder="1"/>
    <xf numFmtId="1" fontId="20" fillId="6" borderId="8" xfId="0" applyNumberFormat="1" applyFont="1" applyFill="1" applyBorder="1"/>
    <xf numFmtId="0" fontId="0" fillId="6" borderId="3" xfId="0" applyFill="1" applyBorder="1"/>
    <xf numFmtId="0" fontId="0" fillId="6" borderId="4" xfId="0" applyFill="1" applyBorder="1" applyAlignment="1">
      <alignment horizontal="left" vertical="center" indent="1"/>
    </xf>
    <xf numFmtId="0" fontId="0" fillId="6" borderId="6" xfId="0" applyFill="1" applyBorder="1" applyAlignment="1">
      <alignment horizontal="left" vertical="center" indent="1"/>
    </xf>
    <xf numFmtId="0" fontId="0" fillId="6" borderId="8" xfId="0" applyFill="1" applyBorder="1"/>
    <xf numFmtId="15" fontId="0" fillId="6" borderId="0" xfId="0" applyNumberFormat="1" applyFill="1"/>
    <xf numFmtId="0" fontId="22" fillId="6" borderId="1" xfId="0" applyFont="1" applyFill="1" applyBorder="1"/>
    <xf numFmtId="0" fontId="0" fillId="0" borderId="8" xfId="0" applyBorder="1" applyAlignment="1">
      <alignment wrapText="1"/>
    </xf>
    <xf numFmtId="0" fontId="8" fillId="6" borderId="1" xfId="0" applyFont="1" applyFill="1" applyBorder="1" applyAlignment="1">
      <alignment horizontal="left"/>
    </xf>
    <xf numFmtId="0" fontId="0" fillId="6" borderId="5" xfId="0" applyFill="1" applyBorder="1" applyAlignment="1">
      <alignment horizontal="left" indent="1"/>
    </xf>
    <xf numFmtId="0" fontId="8" fillId="6" borderId="4" xfId="0" quotePrefix="1" applyFont="1" applyFill="1" applyBorder="1" applyAlignment="1">
      <alignment horizontal="left" indent="1"/>
    </xf>
    <xf numFmtId="0" fontId="8" fillId="6" borderId="31" xfId="0" applyFont="1" applyFill="1" applyBorder="1"/>
    <xf numFmtId="0" fontId="0" fillId="8" borderId="32" xfId="0" applyFill="1" applyBorder="1"/>
    <xf numFmtId="0" fontId="0" fillId="6" borderId="33" xfId="0" applyFill="1" applyBorder="1"/>
    <xf numFmtId="44" fontId="6" fillId="6" borderId="0" xfId="1" applyFont="1" applyFill="1" applyBorder="1" applyAlignment="1">
      <alignment horizontal="center"/>
    </xf>
    <xf numFmtId="44" fontId="6" fillId="6" borderId="13" xfId="1" applyFont="1" applyFill="1" applyBorder="1" applyAlignment="1">
      <alignment horizontal="center"/>
    </xf>
    <xf numFmtId="44" fontId="0" fillId="6" borderId="13" xfId="0" applyNumberFormat="1" applyFill="1" applyBorder="1" applyAlignment="1">
      <alignment horizontal="center"/>
    </xf>
    <xf numFmtId="0" fontId="6" fillId="7" borderId="32" xfId="0" applyFont="1" applyFill="1" applyBorder="1" applyAlignment="1">
      <alignment horizontal="left" vertical="center" wrapText="1"/>
    </xf>
    <xf numFmtId="44" fontId="0" fillId="6" borderId="0" xfId="0" applyNumberFormat="1" applyFill="1" applyAlignment="1" applyProtection="1">
      <alignment horizontal="center"/>
      <protection locked="0"/>
    </xf>
    <xf numFmtId="0" fontId="24" fillId="6" borderId="5" xfId="0" applyFont="1" applyFill="1" applyBorder="1" applyAlignment="1">
      <alignment wrapText="1"/>
    </xf>
    <xf numFmtId="0" fontId="0" fillId="6" borderId="0" xfId="0" applyFill="1" applyAlignment="1">
      <alignment horizontal="right"/>
    </xf>
    <xf numFmtId="0" fontId="1" fillId="6" borderId="12" xfId="0" applyFont="1" applyFill="1" applyBorder="1"/>
    <xf numFmtId="0" fontId="0" fillId="6" borderId="13" xfId="1" applyNumberFormat="1" applyFont="1" applyFill="1" applyBorder="1" applyAlignment="1">
      <alignment horizontal="center"/>
    </xf>
    <xf numFmtId="0" fontId="0" fillId="0" borderId="21" xfId="0" applyBorder="1"/>
    <xf numFmtId="14" fontId="0" fillId="8" borderId="5" xfId="0" applyNumberFormat="1" applyFill="1" applyBorder="1" applyAlignment="1" applyProtection="1">
      <alignment horizontal="center"/>
      <protection locked="0"/>
    </xf>
    <xf numFmtId="0" fontId="0" fillId="8" borderId="5" xfId="0" applyFill="1" applyBorder="1" applyAlignment="1" applyProtection="1">
      <alignment horizontal="center"/>
      <protection locked="0"/>
    </xf>
    <xf numFmtId="0" fontId="0" fillId="8" borderId="14" xfId="0" applyFill="1" applyBorder="1" applyAlignment="1" applyProtection="1">
      <alignment horizontal="center"/>
      <protection locked="0"/>
    </xf>
    <xf numFmtId="0" fontId="0" fillId="6" borderId="5" xfId="0" applyFill="1" applyBorder="1" applyAlignment="1" applyProtection="1">
      <alignment horizontal="center"/>
      <protection locked="0"/>
    </xf>
    <xf numFmtId="2" fontId="0" fillId="7" borderId="5" xfId="0" applyNumberFormat="1" applyFill="1" applyBorder="1" applyAlignment="1" applyProtection="1">
      <alignment horizontal="center"/>
      <protection locked="0"/>
    </xf>
    <xf numFmtId="0" fontId="0" fillId="8" borderId="8" xfId="0" applyFill="1" applyBorder="1" applyAlignment="1" applyProtection="1">
      <alignment horizontal="center"/>
      <protection locked="0"/>
    </xf>
    <xf numFmtId="0" fontId="4" fillId="6" borderId="0" xfId="0" applyFont="1" applyFill="1" applyAlignment="1">
      <alignment horizontal="center"/>
    </xf>
    <xf numFmtId="0" fontId="0" fillId="6" borderId="0" xfId="0" applyFill="1" applyProtection="1">
      <protection locked="0"/>
    </xf>
    <xf numFmtId="0" fontId="10" fillId="6" borderId="0" xfId="0" applyFont="1" applyFill="1" applyProtection="1">
      <protection locked="0"/>
    </xf>
    <xf numFmtId="0" fontId="0" fillId="6" borderId="0" xfId="0" applyFill="1" applyAlignment="1" applyProtection="1">
      <alignment wrapText="1"/>
      <protection locked="0"/>
    </xf>
    <xf numFmtId="0" fontId="7" fillId="6" borderId="0" xfId="0" applyFont="1" applyFill="1" applyProtection="1">
      <protection locked="0"/>
    </xf>
    <xf numFmtId="0" fontId="7" fillId="6" borderId="0" xfId="0" applyFont="1" applyFill="1" applyAlignment="1" applyProtection="1">
      <alignment horizontal="center"/>
      <protection locked="0"/>
    </xf>
    <xf numFmtId="0" fontId="8" fillId="6" borderId="0" xfId="0" applyFont="1" applyFill="1" applyAlignment="1" applyProtection="1">
      <alignment horizontal="center" wrapText="1"/>
      <protection locked="0"/>
    </xf>
    <xf numFmtId="164" fontId="0" fillId="6" borderId="0" xfId="0" applyNumberFormat="1" applyFill="1" applyProtection="1">
      <protection locked="0"/>
    </xf>
    <xf numFmtId="44" fontId="0" fillId="6" borderId="0" xfId="0" applyNumberFormat="1" applyFill="1" applyProtection="1">
      <protection locked="0"/>
    </xf>
    <xf numFmtId="0" fontId="4" fillId="6" borderId="0" xfId="0" applyFont="1" applyFill="1" applyAlignment="1">
      <alignment horizontal="center" wrapText="1"/>
    </xf>
    <xf numFmtId="0" fontId="4" fillId="6" borderId="0" xfId="0" applyFont="1" applyFill="1" applyAlignment="1" applyProtection="1">
      <alignment horizontal="center" wrapText="1"/>
      <protection locked="0"/>
    </xf>
    <xf numFmtId="0" fontId="1" fillId="6" borderId="0" xfId="0" applyFont="1" applyFill="1" applyProtection="1">
      <protection locked="0"/>
    </xf>
    <xf numFmtId="164" fontId="8" fillId="6" borderId="0" xfId="0" applyNumberFormat="1" applyFont="1" applyFill="1" applyProtection="1">
      <protection locked="0"/>
    </xf>
    <xf numFmtId="164" fontId="6" fillId="6" borderId="0" xfId="0" applyNumberFormat="1" applyFont="1" applyFill="1" applyProtection="1">
      <protection locked="0"/>
    </xf>
    <xf numFmtId="0" fontId="4" fillId="6" borderId="0" xfId="0" applyFont="1" applyFill="1" applyAlignment="1" applyProtection="1">
      <alignment horizontal="center"/>
      <protection locked="0"/>
    </xf>
    <xf numFmtId="167" fontId="6" fillId="8" borderId="0" xfId="0" applyNumberFormat="1" applyFont="1" applyFill="1" applyProtection="1">
      <protection locked="0"/>
    </xf>
    <xf numFmtId="3" fontId="6" fillId="8" borderId="0" xfId="0" applyNumberFormat="1" applyFont="1" applyFill="1" applyAlignment="1" applyProtection="1">
      <alignment horizontal="center"/>
      <protection locked="0"/>
    </xf>
    <xf numFmtId="0" fontId="7" fillId="6" borderId="9" xfId="0" applyFont="1" applyFill="1" applyBorder="1" applyAlignment="1">
      <alignment horizontal="center"/>
    </xf>
    <xf numFmtId="0" fontId="7" fillId="6" borderId="10" xfId="0" applyFont="1" applyFill="1" applyBorder="1" applyAlignment="1">
      <alignment horizontal="center"/>
    </xf>
    <xf numFmtId="0" fontId="7" fillId="6" borderId="11" xfId="0" applyFont="1" applyFill="1" applyBorder="1" applyAlignment="1">
      <alignment horizontal="center"/>
    </xf>
    <xf numFmtId="0" fontId="0" fillId="8" borderId="0" xfId="0" applyFill="1" applyAlignment="1" applyProtection="1">
      <alignment horizontal="center" vertical="center" wrapText="1"/>
      <protection locked="0"/>
    </xf>
    <xf numFmtId="0" fontId="0" fillId="6" borderId="4" xfId="0" applyFill="1" applyBorder="1" applyAlignment="1">
      <alignment horizontal="left" vertical="center" wrapText="1"/>
    </xf>
    <xf numFmtId="0" fontId="8" fillId="6" borderId="0" xfId="0" applyFont="1" applyFill="1" applyAlignment="1">
      <alignment horizontal="center" wrapText="1"/>
    </xf>
    <xf numFmtId="0" fontId="0" fillId="8" borderId="0" xfId="0" applyFill="1" applyAlignment="1" applyProtection="1">
      <alignment horizontal="center"/>
      <protection locked="0"/>
    </xf>
    <xf numFmtId="9" fontId="0" fillId="8" borderId="0" xfId="3" applyFont="1" applyFill="1" applyAlignment="1" applyProtection="1">
      <alignment horizontal="center"/>
      <protection locked="0"/>
    </xf>
    <xf numFmtId="0" fontId="0" fillId="6" borderId="0" xfId="0" applyFill="1" applyAlignment="1" applyProtection="1">
      <alignment horizontal="center"/>
      <protection locked="0"/>
    </xf>
    <xf numFmtId="0" fontId="0" fillId="5" borderId="0" xfId="0" applyFill="1" applyAlignment="1">
      <alignment horizontal="center" vertical="center"/>
    </xf>
    <xf numFmtId="0" fontId="0" fillId="7" borderId="0" xfId="0" applyFill="1" applyAlignment="1" applyProtection="1">
      <alignment horizontal="center" vertical="center"/>
      <protection locked="0"/>
    </xf>
    <xf numFmtId="0" fontId="0" fillId="8" borderId="0" xfId="0" applyFill="1" applyAlignment="1" applyProtection="1">
      <alignment horizontal="center" vertical="center"/>
      <protection locked="0"/>
    </xf>
    <xf numFmtId="0" fontId="8" fillId="6" borderId="0" xfId="0" applyFont="1" applyFill="1" applyAlignment="1">
      <alignment horizontal="center"/>
    </xf>
    <xf numFmtId="0" fontId="14" fillId="8" borderId="0" xfId="0" applyFont="1" applyFill="1" applyAlignment="1" applyProtection="1">
      <alignment horizontal="center"/>
      <protection locked="0"/>
    </xf>
    <xf numFmtId="0" fontId="13" fillId="6" borderId="18" xfId="0" applyFont="1" applyFill="1" applyBorder="1" applyAlignment="1">
      <alignment horizontal="center" wrapText="1"/>
    </xf>
    <xf numFmtId="0" fontId="0" fillId="7" borderId="0" xfId="0" applyFill="1" applyAlignment="1" applyProtection="1">
      <alignment horizontal="center"/>
      <protection locked="0"/>
    </xf>
    <xf numFmtId="0" fontId="1" fillId="6" borderId="18" xfId="0" applyFont="1" applyFill="1" applyBorder="1" applyAlignment="1">
      <alignment horizontal="center" wrapText="1"/>
    </xf>
    <xf numFmtId="0" fontId="6" fillId="7" borderId="32" xfId="0" applyFont="1" applyFill="1" applyBorder="1" applyAlignment="1">
      <alignment horizontal="left" wrapText="1"/>
    </xf>
    <xf numFmtId="0" fontId="0" fillId="7" borderId="32" xfId="0" applyFill="1" applyBorder="1" applyAlignment="1">
      <alignment horizontal="left" wrapText="1"/>
    </xf>
    <xf numFmtId="0" fontId="0" fillId="5" borderId="32" xfId="0" applyFill="1" applyBorder="1" applyAlignment="1">
      <alignment horizontal="left" wrapText="1"/>
    </xf>
    <xf numFmtId="0" fontId="6" fillId="6" borderId="0" xfId="0" applyFont="1" applyFill="1" applyAlignment="1" applyProtection="1">
      <alignment horizontal="center"/>
      <protection locked="0"/>
    </xf>
    <xf numFmtId="0" fontId="3" fillId="6" borderId="4" xfId="2" applyFill="1" applyBorder="1" applyAlignment="1">
      <alignment horizontal="left" vertical="center"/>
    </xf>
    <xf numFmtId="0" fontId="3" fillId="6" borderId="6" xfId="2" applyFill="1" applyBorder="1" applyAlignment="1">
      <alignment horizontal="left" vertical="center"/>
    </xf>
    <xf numFmtId="0" fontId="23" fillId="6" borderId="4" xfId="0" applyFont="1" applyFill="1" applyBorder="1" applyAlignment="1">
      <alignment horizontal="left" vertical="top" wrapText="1"/>
    </xf>
    <xf numFmtId="0" fontId="15" fillId="6" borderId="0" xfId="0" applyFont="1" applyFill="1" applyAlignment="1">
      <alignment horizontal="left" vertical="top" wrapText="1"/>
    </xf>
    <xf numFmtId="0" fontId="6" fillId="6" borderId="6" xfId="0" applyFont="1" applyFill="1" applyBorder="1" applyAlignment="1">
      <alignment horizontal="left" wrapText="1" indent="1"/>
    </xf>
    <xf numFmtId="0" fontId="0" fillId="6" borderId="8" xfId="0" applyFill="1" applyBorder="1" applyAlignment="1">
      <alignment horizontal="left" wrapText="1" indent="1"/>
    </xf>
    <xf numFmtId="0" fontId="6" fillId="6" borderId="4" xfId="0" applyFont="1" applyFill="1" applyBorder="1" applyAlignment="1">
      <alignment horizontal="left" indent="1"/>
    </xf>
    <xf numFmtId="0" fontId="0" fillId="6" borderId="5" xfId="0" applyFill="1" applyBorder="1" applyAlignment="1">
      <alignment horizontal="left" indent="1"/>
    </xf>
    <xf numFmtId="0" fontId="6" fillId="6" borderId="4" xfId="0" applyFont="1" applyFill="1" applyBorder="1" applyAlignment="1">
      <alignment horizontal="left" wrapText="1" indent="3"/>
    </xf>
    <xf numFmtId="0" fontId="0" fillId="6" borderId="5" xfId="0" applyFill="1" applyBorder="1" applyAlignment="1">
      <alignment horizontal="left" wrapText="1" indent="3"/>
    </xf>
    <xf numFmtId="0" fontId="6" fillId="6" borderId="4" xfId="0" applyFont="1" applyFill="1" applyBorder="1" applyAlignment="1">
      <alignment horizontal="left" wrapText="1" indent="1"/>
    </xf>
    <xf numFmtId="0" fontId="0" fillId="6" borderId="5" xfId="0" applyFill="1" applyBorder="1" applyAlignment="1">
      <alignment horizontal="left" wrapText="1" indent="1"/>
    </xf>
    <xf numFmtId="0" fontId="0" fillId="5" borderId="32" xfId="0" applyFill="1" applyBorder="1" applyAlignment="1">
      <alignment horizontal="left" vertical="top" wrapText="1"/>
    </xf>
    <xf numFmtId="0" fontId="25" fillId="6" borderId="4" xfId="0" applyFont="1" applyFill="1" applyBorder="1" applyAlignment="1">
      <alignment horizontal="left" indent="1"/>
    </xf>
    <xf numFmtId="0" fontId="6" fillId="6" borderId="4" xfId="0" applyFont="1" applyFill="1" applyBorder="1" applyAlignment="1">
      <alignment horizontal="left" vertical="top" wrapText="1" indent="1"/>
    </xf>
    <xf numFmtId="0" fontId="0" fillId="6" borderId="5" xfId="0" applyFill="1" applyBorder="1" applyAlignment="1">
      <alignment horizontal="left" vertical="top" wrapText="1" indent="1"/>
    </xf>
    <xf numFmtId="0" fontId="7" fillId="6" borderId="1" xfId="0" applyFont="1" applyFill="1" applyBorder="1" applyAlignment="1">
      <alignment horizontal="center"/>
    </xf>
    <xf numFmtId="0" fontId="7" fillId="6" borderId="2" xfId="0" applyFont="1" applyFill="1" applyBorder="1" applyAlignment="1">
      <alignment horizontal="center"/>
    </xf>
    <xf numFmtId="0" fontId="7" fillId="6" borderId="3" xfId="0" applyFont="1" applyFill="1" applyBorder="1" applyAlignment="1">
      <alignment horizontal="center"/>
    </xf>
    <xf numFmtId="0" fontId="0" fillId="6" borderId="0" xfId="0" applyFill="1" applyAlignment="1" applyProtection="1">
      <alignment horizontal="left" vertical="top"/>
      <protection locked="0"/>
    </xf>
    <xf numFmtId="0" fontId="14" fillId="8" borderId="0" xfId="0" applyFont="1" applyFill="1" applyAlignment="1" applyProtection="1">
      <alignment horizontal="center" vertical="center"/>
      <protection locked="0"/>
    </xf>
    <xf numFmtId="0" fontId="4" fillId="6" borderId="9" xfId="0" applyFont="1" applyFill="1" applyBorder="1" applyAlignment="1">
      <alignment horizontal="center" wrapText="1"/>
    </xf>
    <xf numFmtId="0" fontId="4" fillId="6" borderId="10" xfId="0" applyFont="1" applyFill="1" applyBorder="1" applyAlignment="1">
      <alignment horizontal="center" wrapText="1"/>
    </xf>
    <xf numFmtId="0" fontId="4" fillId="6" borderId="11" xfId="0" applyFont="1" applyFill="1" applyBorder="1" applyAlignment="1">
      <alignment horizontal="center" wrapText="1"/>
    </xf>
    <xf numFmtId="0" fontId="4" fillId="6" borderId="9" xfId="0" applyFont="1" applyFill="1" applyBorder="1" applyAlignment="1">
      <alignment horizontal="center"/>
    </xf>
    <xf numFmtId="0" fontId="4" fillId="6" borderId="10" xfId="0" applyFont="1" applyFill="1" applyBorder="1" applyAlignment="1">
      <alignment horizontal="center"/>
    </xf>
    <xf numFmtId="0" fontId="4" fillId="6" borderId="11" xfId="0" applyFont="1" applyFill="1" applyBorder="1" applyAlignment="1">
      <alignment horizontal="center"/>
    </xf>
    <xf numFmtId="0" fontId="1" fillId="6" borderId="18" xfId="0" applyFont="1" applyFill="1" applyBorder="1" applyAlignment="1">
      <alignment horizontal="center"/>
    </xf>
    <xf numFmtId="0" fontId="0" fillId="8" borderId="0" xfId="0" applyFill="1" applyAlignment="1" applyProtection="1">
      <alignment horizontal="left"/>
      <protection locked="0"/>
    </xf>
    <xf numFmtId="0" fontId="3" fillId="6" borderId="0" xfId="2" applyFill="1" applyAlignment="1">
      <alignment horizontal="left"/>
    </xf>
    <xf numFmtId="0" fontId="3" fillId="6" borderId="22" xfId="2" applyFill="1" applyBorder="1" applyAlignment="1">
      <alignment horizontal="left"/>
    </xf>
    <xf numFmtId="0" fontId="0" fillId="6" borderId="13" xfId="0" applyFill="1" applyBorder="1" applyAlignment="1">
      <alignment horizontal="left"/>
    </xf>
    <xf numFmtId="0" fontId="0" fillId="6" borderId="24" xfId="0" applyFill="1" applyBorder="1" applyAlignment="1">
      <alignment horizontal="left"/>
    </xf>
    <xf numFmtId="0" fontId="3" fillId="6" borderId="0" xfId="2" applyFill="1" applyAlignment="1">
      <alignment horizontal="left" wrapText="1"/>
    </xf>
    <xf numFmtId="0" fontId="3" fillId="6" borderId="22" xfId="2" applyFill="1" applyBorder="1" applyAlignment="1">
      <alignment horizontal="left" wrapText="1"/>
    </xf>
    <xf numFmtId="0" fontId="4" fillId="4" borderId="18" xfId="0" applyFont="1" applyFill="1" applyBorder="1" applyAlignment="1">
      <alignment horizontal="center"/>
    </xf>
    <xf numFmtId="0" fontId="4" fillId="4" borderId="20" xfId="0" applyFont="1" applyFill="1" applyBorder="1" applyAlignment="1">
      <alignment horizontal="center"/>
    </xf>
    <xf numFmtId="0" fontId="0" fillId="6" borderId="0" xfId="0" applyFill="1" applyAlignment="1">
      <alignment horizontal="left"/>
    </xf>
    <xf numFmtId="0" fontId="0" fillId="6" borderId="22" xfId="0" applyFill="1" applyBorder="1" applyAlignment="1">
      <alignment horizontal="left"/>
    </xf>
    <xf numFmtId="0" fontId="15" fillId="6" borderId="0" xfId="0" applyFont="1" applyFill="1" applyAlignment="1">
      <alignment horizontal="left"/>
    </xf>
    <xf numFmtId="0" fontId="15" fillId="6" borderId="22" xfId="0" applyFont="1" applyFill="1" applyBorder="1" applyAlignment="1">
      <alignment horizontal="left"/>
    </xf>
    <xf numFmtId="0" fontId="4" fillId="4" borderId="18" xfId="0" applyFont="1" applyFill="1" applyBorder="1" applyAlignment="1">
      <alignment horizontal="center" wrapText="1"/>
    </xf>
    <xf numFmtId="0" fontId="4" fillId="4" borderId="20" xfId="0" applyFont="1" applyFill="1" applyBorder="1" applyAlignment="1">
      <alignment horizontal="center" wrapText="1"/>
    </xf>
    <xf numFmtId="0" fontId="4" fillId="4" borderId="22" xfId="0" applyFont="1" applyFill="1" applyBorder="1" applyAlignment="1">
      <alignment horizontal="center"/>
    </xf>
    <xf numFmtId="0" fontId="0" fillId="4" borderId="18" xfId="0" applyFill="1" applyBorder="1" applyAlignment="1">
      <alignment horizontal="center"/>
    </xf>
    <xf numFmtId="0" fontId="0" fillId="4" borderId="20" xfId="0" applyFill="1" applyBorder="1" applyAlignment="1">
      <alignment horizontal="center"/>
    </xf>
    <xf numFmtId="0" fontId="7" fillId="4" borderId="0" xfId="0" applyFont="1" applyFill="1" applyAlignment="1">
      <alignment horizontal="center" wrapText="1"/>
    </xf>
    <xf numFmtId="0" fontId="7" fillId="4" borderId="22" xfId="0" applyFont="1" applyFill="1" applyBorder="1" applyAlignment="1">
      <alignment horizontal="center" wrapText="1"/>
    </xf>
    <xf numFmtId="0" fontId="7" fillId="4" borderId="18" xfId="0" applyFont="1" applyFill="1" applyBorder="1" applyAlignment="1">
      <alignment horizontal="left"/>
    </xf>
    <xf numFmtId="0" fontId="7" fillId="4" borderId="20" xfId="0" applyFont="1" applyFill="1" applyBorder="1" applyAlignment="1">
      <alignment horizontal="left"/>
    </xf>
    <xf numFmtId="0" fontId="0" fillId="6" borderId="22" xfId="1" applyNumberFormat="1" applyFont="1" applyFill="1" applyBorder="1" applyAlignment="1">
      <alignment horizontal="left"/>
    </xf>
    <xf numFmtId="0" fontId="4" fillId="4" borderId="0" xfId="0" applyFont="1" applyFill="1" applyAlignment="1">
      <alignment horizontal="center" wrapText="1"/>
    </xf>
    <xf numFmtId="0" fontId="4" fillId="4" borderId="22" xfId="0" applyFont="1" applyFill="1" applyBorder="1" applyAlignment="1">
      <alignment horizontal="center" wrapText="1"/>
    </xf>
    <xf numFmtId="0" fontId="0" fillId="0" borderId="0" xfId="0" applyAlignment="1">
      <alignment horizontal="left"/>
    </xf>
    <xf numFmtId="0" fontId="7" fillId="4" borderId="18" xfId="0" applyFont="1" applyFill="1" applyBorder="1" applyAlignment="1">
      <alignment horizontal="center"/>
    </xf>
    <xf numFmtId="1" fontId="0" fillId="6" borderId="0" xfId="0" applyNumberFormat="1" applyFill="1" applyAlignment="1">
      <alignment horizontal="left"/>
    </xf>
  </cellXfs>
  <cellStyles count="4">
    <cellStyle name="Hyperlink" xfId="2" builtinId="8"/>
    <cellStyle name="Procent" xfId="3" builtinId="5"/>
    <cellStyle name="Standaard" xfId="0" builtinId="0"/>
    <cellStyle name="Valuta" xfId="1" builtinId="4"/>
  </cellStyles>
  <dxfs count="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2"/>
      </font>
      <fill>
        <patternFill>
          <bgColor theme="0"/>
        </patternFill>
      </fill>
    </dxf>
    <dxf>
      <font>
        <color theme="9"/>
      </font>
      <fill>
        <patternFill>
          <bgColor theme="6"/>
        </patternFill>
      </fill>
    </dxf>
    <dxf>
      <font>
        <color theme="8" tint="-0.499984740745262"/>
      </font>
      <fill>
        <patternFill>
          <bgColor theme="8"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microsoft.com/office/2023/09/relationships/Python" Target="python.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kosten &amp; baten voederhaag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7.4649996918426303E-2"/>
          <c:y val="0.1049386197599631"/>
          <c:w val="0.68618029835651984"/>
          <c:h val="0.7691674058630853"/>
        </c:manualLayout>
      </c:layout>
      <c:barChart>
        <c:barDir val="col"/>
        <c:grouping val="stacked"/>
        <c:varyColors val="0"/>
        <c:ser>
          <c:idx val="0"/>
          <c:order val="0"/>
          <c:tx>
            <c:strRef>
              <c:f>Samenvatting!$K$10</c:f>
              <c:strCache>
                <c:ptCount val="1"/>
                <c:pt idx="0">
                  <c:v>kosten</c:v>
                </c:pt>
              </c:strCache>
            </c:strRef>
          </c:tx>
          <c:spPr>
            <a:solidFill>
              <a:schemeClr val="accent3">
                <a:lumMod val="90000"/>
              </a:schemeClr>
            </a:solidFill>
            <a:ln>
              <a:solidFill>
                <a:schemeClr val="accent3">
                  <a:lumMod val="90000"/>
                </a:schemeClr>
              </a:solidFill>
            </a:ln>
            <a:effectLst/>
          </c:spPr>
          <c:invertIfNegative val="0"/>
          <c:cat>
            <c:numRef>
              <c:f>Samenvatting!$J$11:$J$21</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Samenvatting!$K$11:$K$21</c:f>
              <c:numCache>
                <c:formatCode>_ "€"\ * #,##0_ ;_ "€"\ * \-#,##0_ ;_ "€"\ * "-"??_ ;_ @_ </c:formatCode>
                <c:ptCount val="11"/>
                <c:pt idx="0">
                  <c:v>-14855</c:v>
                </c:pt>
                <c:pt idx="1">
                  <c:v>-1664.13</c:v>
                </c:pt>
                <c:pt idx="2">
                  <c:v>-1664.13</c:v>
                </c:pt>
                <c:pt idx="3">
                  <c:v>-1664.13</c:v>
                </c:pt>
                <c:pt idx="4">
                  <c:v>-1664.13</c:v>
                </c:pt>
                <c:pt idx="5">
                  <c:v>-1664.13</c:v>
                </c:pt>
                <c:pt idx="6">
                  <c:v>-1664.13</c:v>
                </c:pt>
                <c:pt idx="7">
                  <c:v>-1664.13</c:v>
                </c:pt>
                <c:pt idx="8">
                  <c:v>-1664.13</c:v>
                </c:pt>
                <c:pt idx="9">
                  <c:v>-1664.13</c:v>
                </c:pt>
                <c:pt idx="10">
                  <c:v>-1664.13</c:v>
                </c:pt>
              </c:numCache>
            </c:numRef>
          </c:val>
          <c:extLst>
            <c:ext xmlns:c16="http://schemas.microsoft.com/office/drawing/2014/chart" uri="{C3380CC4-5D6E-409C-BE32-E72D297353CC}">
              <c16:uniqueId val="{00000000-7C8E-4D4C-95BF-F1961FCA9255}"/>
            </c:ext>
          </c:extLst>
        </c:ser>
        <c:ser>
          <c:idx val="1"/>
          <c:order val="1"/>
          <c:tx>
            <c:strRef>
              <c:f>Samenvatting!$L$10</c:f>
              <c:strCache>
                <c:ptCount val="1"/>
                <c:pt idx="0">
                  <c:v>opbrengsten</c:v>
                </c:pt>
              </c:strCache>
            </c:strRef>
          </c:tx>
          <c:spPr>
            <a:solidFill>
              <a:schemeClr val="accent1"/>
            </a:solidFill>
            <a:ln>
              <a:solidFill>
                <a:schemeClr val="accent1"/>
              </a:solidFill>
            </a:ln>
            <a:effectLst/>
          </c:spPr>
          <c:invertIfNegative val="0"/>
          <c:cat>
            <c:numRef>
              <c:f>Samenvatting!$J$11:$J$21</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Samenvatting!$L$11:$L$21</c:f>
              <c:numCache>
                <c:formatCode>_ "€"\ * #,##0_ ;_ "€"\ * \-#,##0_ ;_ "€"\ * "-"??_ ;_ @_ </c:formatCode>
                <c:ptCount val="11"/>
                <c:pt idx="0">
                  <c:v>11141.25</c:v>
                </c:pt>
                <c:pt idx="1">
                  <c:v>3050</c:v>
                </c:pt>
                <c:pt idx="2">
                  <c:v>3050</c:v>
                </c:pt>
                <c:pt idx="3">
                  <c:v>3050</c:v>
                </c:pt>
                <c:pt idx="4">
                  <c:v>3050</c:v>
                </c:pt>
                <c:pt idx="5">
                  <c:v>3050</c:v>
                </c:pt>
                <c:pt idx="6">
                  <c:v>3050</c:v>
                </c:pt>
                <c:pt idx="7">
                  <c:v>3050</c:v>
                </c:pt>
                <c:pt idx="8">
                  <c:v>3050</c:v>
                </c:pt>
                <c:pt idx="9">
                  <c:v>3050</c:v>
                </c:pt>
                <c:pt idx="10">
                  <c:v>3050</c:v>
                </c:pt>
              </c:numCache>
            </c:numRef>
          </c:val>
          <c:extLst>
            <c:ext xmlns:c16="http://schemas.microsoft.com/office/drawing/2014/chart" uri="{C3380CC4-5D6E-409C-BE32-E72D297353CC}">
              <c16:uniqueId val="{00000001-7C8E-4D4C-95BF-F1961FCA9255}"/>
            </c:ext>
          </c:extLst>
        </c:ser>
        <c:ser>
          <c:idx val="2"/>
          <c:order val="2"/>
          <c:tx>
            <c:strRef>
              <c:f>Samenvatting!$M$10</c:f>
              <c:strCache>
                <c:ptCount val="1"/>
                <c:pt idx="0">
                  <c:v>indirecte opbrengsten</c:v>
                </c:pt>
              </c:strCache>
            </c:strRef>
          </c:tx>
          <c:spPr>
            <a:pattFill prst="dkUpDiag">
              <a:fgClr>
                <a:schemeClr val="accent5"/>
              </a:fgClr>
              <a:bgClr>
                <a:schemeClr val="bg1"/>
              </a:bgClr>
            </a:pattFill>
            <a:ln>
              <a:solidFill>
                <a:schemeClr val="accent5"/>
              </a:solidFill>
            </a:ln>
            <a:effectLst/>
          </c:spPr>
          <c:invertIfNegative val="0"/>
          <c:cat>
            <c:numRef>
              <c:f>Samenvatting!$J$11:$J$21</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Samenvatting!$M$11:$M$21</c:f>
              <c:numCache>
                <c:formatCode>General</c:formatCode>
                <c:ptCount val="11"/>
                <c:pt idx="6" formatCode="_ &quot;€&quot;\ * #,##0_ ;_ &quot;€&quot;\ * \-#,##0_ ;_ &quot;€&quot;\ * &quot;-&quot;??_ ;_ @_ ">
                  <c:v>1384.32095</c:v>
                </c:pt>
                <c:pt idx="7" formatCode="_ &quot;€&quot;\ * #,##0_ ;_ &quot;€&quot;\ * \-#,##0_ ;_ &quot;€&quot;\ * &quot;-&quot;??_ ;_ @_ ">
                  <c:v>1384.32095</c:v>
                </c:pt>
                <c:pt idx="8" formatCode="_ &quot;€&quot;\ * #,##0_ ;_ &quot;€&quot;\ * \-#,##0_ ;_ &quot;€&quot;\ * &quot;-&quot;??_ ;_ @_ ">
                  <c:v>1384.32095</c:v>
                </c:pt>
                <c:pt idx="9" formatCode="_ &quot;€&quot;\ * #,##0_ ;_ &quot;€&quot;\ * \-#,##0_ ;_ &quot;€&quot;\ * &quot;-&quot;??_ ;_ @_ ">
                  <c:v>1384.32095</c:v>
                </c:pt>
                <c:pt idx="10" formatCode="_ &quot;€&quot;\ * #,##0_ ;_ &quot;€&quot;\ * \-#,##0_ ;_ &quot;€&quot;\ * &quot;-&quot;??_ ;_ @_ ">
                  <c:v>1384.32095</c:v>
                </c:pt>
              </c:numCache>
            </c:numRef>
          </c:val>
          <c:extLst>
            <c:ext xmlns:c16="http://schemas.microsoft.com/office/drawing/2014/chart" uri="{C3380CC4-5D6E-409C-BE32-E72D297353CC}">
              <c16:uniqueId val="{00000002-7C8E-4D4C-95BF-F1961FCA9255}"/>
            </c:ext>
          </c:extLst>
        </c:ser>
        <c:dLbls>
          <c:showLegendKey val="0"/>
          <c:showVal val="0"/>
          <c:showCatName val="0"/>
          <c:showSerName val="0"/>
          <c:showPercent val="0"/>
          <c:showBubbleSize val="0"/>
        </c:dLbls>
        <c:gapWidth val="219"/>
        <c:overlap val="100"/>
        <c:axId val="573313392"/>
        <c:axId val="573297072"/>
      </c:barChart>
      <c:lineChart>
        <c:grouping val="standard"/>
        <c:varyColors val="0"/>
        <c:ser>
          <c:idx val="4"/>
          <c:order val="3"/>
          <c:tx>
            <c:strRef>
              <c:f>Samenvatting!$N$10</c:f>
              <c:strCache>
                <c:ptCount val="1"/>
                <c:pt idx="0">
                  <c:v>balans</c:v>
                </c:pt>
              </c:strCache>
            </c:strRef>
          </c:tx>
          <c:spPr>
            <a:ln w="28575" cap="rnd">
              <a:solidFill>
                <a:schemeClr val="accent2">
                  <a:lumMod val="75000"/>
                </a:schemeClr>
              </a:solidFill>
              <a:round/>
            </a:ln>
            <a:effectLst/>
          </c:spPr>
          <c:marker>
            <c:symbol val="none"/>
          </c:marker>
          <c:val>
            <c:numRef>
              <c:f>Samenvatting!$N$11:$N$21</c:f>
              <c:numCache>
                <c:formatCode>_ "€"\ * #,##0_ ;_ "€"\ * \-#,##0_ ;_ "€"\ * "-"??_ ;_ @_ </c:formatCode>
                <c:ptCount val="11"/>
                <c:pt idx="0">
                  <c:v>-3713.75</c:v>
                </c:pt>
                <c:pt idx="1">
                  <c:v>-2327.88</c:v>
                </c:pt>
                <c:pt idx="2">
                  <c:v>-942.01000000000022</c:v>
                </c:pt>
                <c:pt idx="3">
                  <c:v>443.85999999999967</c:v>
                </c:pt>
                <c:pt idx="4">
                  <c:v>1829.7299999999996</c:v>
                </c:pt>
                <c:pt idx="5">
                  <c:v>3215.5999999999995</c:v>
                </c:pt>
                <c:pt idx="6">
                  <c:v>4601.4699999999993</c:v>
                </c:pt>
                <c:pt idx="7">
                  <c:v>5987.3399999999992</c:v>
                </c:pt>
                <c:pt idx="8">
                  <c:v>7373.2099999999991</c:v>
                </c:pt>
                <c:pt idx="9">
                  <c:v>8759.0799999999981</c:v>
                </c:pt>
                <c:pt idx="10">
                  <c:v>10144.949999999997</c:v>
                </c:pt>
              </c:numCache>
            </c:numRef>
          </c:val>
          <c:smooth val="0"/>
          <c:extLst>
            <c:ext xmlns:c16="http://schemas.microsoft.com/office/drawing/2014/chart" uri="{C3380CC4-5D6E-409C-BE32-E72D297353CC}">
              <c16:uniqueId val="{00000004-7C8E-4D4C-95BF-F1961FCA9255}"/>
            </c:ext>
          </c:extLst>
        </c:ser>
        <c:ser>
          <c:idx val="3"/>
          <c:order val="4"/>
          <c:tx>
            <c:strRef>
              <c:f>Samenvatting!$O$10</c:f>
              <c:strCache>
                <c:ptCount val="1"/>
                <c:pt idx="0">
                  <c:v>balans incl indirecte opbrengsten</c:v>
                </c:pt>
              </c:strCache>
            </c:strRef>
          </c:tx>
          <c:spPr>
            <a:ln w="22225" cap="rnd">
              <a:solidFill>
                <a:schemeClr val="accent2">
                  <a:lumMod val="75000"/>
                </a:schemeClr>
              </a:solidFill>
              <a:prstDash val="sysDash"/>
              <a:round/>
            </a:ln>
            <a:effectLst/>
          </c:spPr>
          <c:marker>
            <c:symbol val="none"/>
          </c:marker>
          <c:val>
            <c:numRef>
              <c:f>Samenvatting!$O$11:$O$21</c:f>
              <c:numCache>
                <c:formatCode>_ "€"\ * #,##0_ ;_ "€"\ * \-#,##0_ ;_ "€"\ * "-"??_ ;_ @_ </c:formatCode>
                <c:ptCount val="11"/>
                <c:pt idx="0">
                  <c:v>-3713.75</c:v>
                </c:pt>
                <c:pt idx="1">
                  <c:v>-2327.88</c:v>
                </c:pt>
                <c:pt idx="2">
                  <c:v>-942.01000000000022</c:v>
                </c:pt>
                <c:pt idx="3">
                  <c:v>443.85999999999967</c:v>
                </c:pt>
                <c:pt idx="4">
                  <c:v>1829.7299999999996</c:v>
                </c:pt>
                <c:pt idx="5">
                  <c:v>3215.5999999999995</c:v>
                </c:pt>
                <c:pt idx="6">
                  <c:v>5985.7909499999996</c:v>
                </c:pt>
                <c:pt idx="7">
                  <c:v>8755.9818999999989</c:v>
                </c:pt>
                <c:pt idx="8">
                  <c:v>11526.172849999999</c:v>
                </c:pt>
                <c:pt idx="9">
                  <c:v>14296.363799999999</c:v>
                </c:pt>
                <c:pt idx="10">
                  <c:v>17066.554749999999</c:v>
                </c:pt>
              </c:numCache>
            </c:numRef>
          </c:val>
          <c:smooth val="0"/>
          <c:extLst>
            <c:ext xmlns:c16="http://schemas.microsoft.com/office/drawing/2014/chart" uri="{C3380CC4-5D6E-409C-BE32-E72D297353CC}">
              <c16:uniqueId val="{00000003-7C8E-4D4C-95BF-F1961FCA9255}"/>
            </c:ext>
          </c:extLst>
        </c:ser>
        <c:dLbls>
          <c:showLegendKey val="0"/>
          <c:showVal val="0"/>
          <c:showCatName val="0"/>
          <c:showSerName val="0"/>
          <c:showPercent val="0"/>
          <c:showBubbleSize val="0"/>
        </c:dLbls>
        <c:marker val="1"/>
        <c:smooth val="0"/>
        <c:axId val="573313392"/>
        <c:axId val="573297072"/>
      </c:lineChart>
      <c:scatterChart>
        <c:scatterStyle val="lineMarker"/>
        <c:varyColors val="0"/>
        <c:ser>
          <c:idx val="5"/>
          <c:order val="5"/>
          <c:tx>
            <c:strRef>
              <c:f>Samenvatting!$P$10</c:f>
              <c:strCache>
                <c:ptCount val="1"/>
                <c:pt idx="0">
                  <c:v>breakeven line</c:v>
                </c:pt>
              </c:strCache>
            </c:strRef>
          </c:tx>
          <c:spPr>
            <a:ln w="22225" cap="rnd">
              <a:solidFill>
                <a:schemeClr val="accent6"/>
              </a:solidFill>
              <a:prstDash val="sysDash"/>
              <a:round/>
            </a:ln>
            <a:effectLst/>
          </c:spPr>
          <c:marker>
            <c:symbol val="none"/>
          </c:marker>
          <c:xVal>
            <c:numRef>
              <c:f>Samenvatting!$P$14:$P$15</c:f>
              <c:numCache>
                <c:formatCode>General</c:formatCode>
                <c:ptCount val="2"/>
                <c:pt idx="0">
                  <c:v>0.5</c:v>
                </c:pt>
                <c:pt idx="1">
                  <c:v>11.5</c:v>
                </c:pt>
              </c:numCache>
            </c:numRef>
          </c:xVal>
          <c:yVal>
            <c:numRef>
              <c:f>Samenvatting!$P$11:$P$12</c:f>
              <c:numCache>
                <c:formatCode>General</c:formatCode>
                <c:ptCount val="2"/>
                <c:pt idx="0">
                  <c:v>0</c:v>
                </c:pt>
                <c:pt idx="1">
                  <c:v>0</c:v>
                </c:pt>
              </c:numCache>
            </c:numRef>
          </c:yVal>
          <c:smooth val="0"/>
          <c:extLst>
            <c:ext xmlns:c16="http://schemas.microsoft.com/office/drawing/2014/chart" uri="{C3380CC4-5D6E-409C-BE32-E72D297353CC}">
              <c16:uniqueId val="{00000010-7C8E-4D4C-95BF-F1961FCA9255}"/>
            </c:ext>
          </c:extLst>
        </c:ser>
        <c:dLbls>
          <c:showLegendKey val="0"/>
          <c:showVal val="0"/>
          <c:showCatName val="0"/>
          <c:showSerName val="0"/>
          <c:showPercent val="0"/>
          <c:showBubbleSize val="0"/>
        </c:dLbls>
        <c:axId val="573313392"/>
        <c:axId val="573297072"/>
      </c:scatterChart>
      <c:catAx>
        <c:axId val="57331339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jaren na aanleg</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3297072"/>
        <c:crosses val="autoZero"/>
        <c:auto val="1"/>
        <c:lblAlgn val="ctr"/>
        <c:lblOffset val="100"/>
        <c:noMultiLvlLbl val="0"/>
      </c:catAx>
      <c:valAx>
        <c:axId val="573297072"/>
        <c:scaling>
          <c:orientation val="minMax"/>
        </c:scaling>
        <c:delete val="0"/>
        <c:axPos val="l"/>
        <c:majorGridlines>
          <c:spPr>
            <a:ln w="9525" cap="flat" cmpd="sng" algn="ctr">
              <a:solidFill>
                <a:schemeClr val="tx1">
                  <a:lumMod val="15000"/>
                  <a:lumOff val="85000"/>
                </a:schemeClr>
              </a:solidFill>
              <a:round/>
            </a:ln>
            <a:effectLst/>
          </c:spPr>
        </c:majorGridlines>
        <c:numFmt formatCode="_ &quot;€&quot;\ * #,##0_ ;_ &quot;€&quot;\ * \-#,##0_ ;_ &quot;€&quot;\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3313392"/>
        <c:crosses val="autoZero"/>
        <c:crossBetween val="between"/>
      </c:valAx>
      <c:spPr>
        <a:noFill/>
        <a:ln>
          <a:noFill/>
        </a:ln>
        <a:effectLst/>
      </c:spPr>
    </c:plotArea>
    <c:legend>
      <c:legendPos val="r"/>
      <c:layout>
        <c:manualLayout>
          <c:xMode val="edge"/>
          <c:yMode val="edge"/>
          <c:x val="0.77878752748808755"/>
          <c:y val="0.20966523375140753"/>
          <c:w val="0.21957840211847576"/>
          <c:h val="0.5751910448406689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svg"/><Relationship Id="rId5" Type="http://schemas.openxmlformats.org/officeDocument/2006/relationships/image" Target="../media/image10.png"/><Relationship Id="rId4" Type="http://schemas.openxmlformats.org/officeDocument/2006/relationships/image" Target="../media/image9.svg"/></Relationships>
</file>

<file path=xl/drawings/_rels/drawing4.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1.sv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image" Target="../media/image10.png"/><Relationship Id="rId5" Type="http://schemas.openxmlformats.org/officeDocument/2006/relationships/image" Target="../media/image9.sv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986119</xdr:colOff>
      <xdr:row>4</xdr:row>
      <xdr:rowOff>54125</xdr:rowOff>
    </xdr:from>
    <xdr:to>
      <xdr:col>1</xdr:col>
      <xdr:colOff>1813449</xdr:colOff>
      <xdr:row>5</xdr:row>
      <xdr:rowOff>136039</xdr:rowOff>
    </xdr:to>
    <xdr:pic>
      <xdr:nvPicPr>
        <xdr:cNvPr id="4" name="Afbeelding 3" descr="cc-by-sa">
          <a:extLst>
            <a:ext uri="{FF2B5EF4-FFF2-40B4-BE49-F238E27FC236}">
              <a16:creationId xmlns:a16="http://schemas.microsoft.com/office/drawing/2014/main" id="{1B5D856B-9D56-9A3A-A20A-46483B615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354" y="1522096"/>
          <a:ext cx="834950" cy="298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177800</xdr:colOff>
      <xdr:row>3</xdr:row>
      <xdr:rowOff>1191490</xdr:rowOff>
    </xdr:from>
    <xdr:to>
      <xdr:col>4</xdr:col>
      <xdr:colOff>853740</xdr:colOff>
      <xdr:row>4</xdr:row>
      <xdr:rowOff>149530</xdr:rowOff>
    </xdr:to>
    <xdr:pic>
      <xdr:nvPicPr>
        <xdr:cNvPr id="5" name="Afbeelding 4" descr="medegefinancierd door de Europese Unie - Menso">
          <a:extLst>
            <a:ext uri="{FF2B5EF4-FFF2-40B4-BE49-F238E27FC236}">
              <a16:creationId xmlns:a16="http://schemas.microsoft.com/office/drawing/2014/main" id="{8E370C93-E049-DD0F-7670-81D3FE049C98}"/>
            </a:ext>
            <a:ext uri="{147F2762-F138-4A5C-976F-8EAC2B608ADB}">
              <a16:predDERef xmlns:a16="http://schemas.microsoft.com/office/drawing/2014/main" pred="{1B5D856B-9D56-9A3A-A20A-46483B61536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11100" y="1940790"/>
          <a:ext cx="2009440" cy="35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1074893</xdr:colOff>
      <xdr:row>1</xdr:row>
      <xdr:rowOff>304800</xdr:rowOff>
    </xdr:from>
    <xdr:to>
      <xdr:col>4</xdr:col>
      <xdr:colOff>2116900</xdr:colOff>
      <xdr:row>3</xdr:row>
      <xdr:rowOff>685349</xdr:rowOff>
    </xdr:to>
    <xdr:pic>
      <xdr:nvPicPr>
        <xdr:cNvPr id="2" name="Afbeelding 1" descr="Stichting Grond Verbond">
          <a:extLst>
            <a:ext uri="{FF2B5EF4-FFF2-40B4-BE49-F238E27FC236}">
              <a16:creationId xmlns:a16="http://schemas.microsoft.com/office/drawing/2014/main" id="{97D9DFB8-F53E-7819-1993-C116EF2B0E6C}"/>
            </a:ext>
            <a:ext uri="{147F2762-F138-4A5C-976F-8EAC2B608ADB}">
              <a16:predDERef xmlns:a16="http://schemas.microsoft.com/office/drawing/2014/main" pred="{8E370C93-E049-DD0F-7670-81D3FE049C9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841693" y="520700"/>
          <a:ext cx="1042007" cy="913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825500</xdr:colOff>
      <xdr:row>3</xdr:row>
      <xdr:rowOff>1221642</xdr:rowOff>
    </xdr:from>
    <xdr:to>
      <xdr:col>4</xdr:col>
      <xdr:colOff>2176780</xdr:colOff>
      <xdr:row>4</xdr:row>
      <xdr:rowOff>88899</xdr:rowOff>
    </xdr:to>
    <xdr:pic>
      <xdr:nvPicPr>
        <xdr:cNvPr id="3" name="Afbeelding 2" descr="Home">
          <a:extLst>
            <a:ext uri="{FF2B5EF4-FFF2-40B4-BE49-F238E27FC236}">
              <a16:creationId xmlns:a16="http://schemas.microsoft.com/office/drawing/2014/main" id="{B96B192E-670B-3D4C-E7E3-9FDFE7D2E0D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592300" y="1970942"/>
          <a:ext cx="1351280" cy="264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3</xdr:row>
      <xdr:rowOff>47212</xdr:rowOff>
    </xdr:from>
    <xdr:to>
      <xdr:col>4</xdr:col>
      <xdr:colOff>614680</xdr:colOff>
      <xdr:row>3</xdr:row>
      <xdr:rowOff>551179</xdr:rowOff>
    </xdr:to>
    <xdr:pic>
      <xdr:nvPicPr>
        <xdr:cNvPr id="6" name="Afbeelding 5" descr="Wij.land - Wholebrands">
          <a:extLst>
            <a:ext uri="{FF2B5EF4-FFF2-40B4-BE49-F238E27FC236}">
              <a16:creationId xmlns:a16="http://schemas.microsoft.com/office/drawing/2014/main" id="{C475CA61-5A08-BFE2-6E44-55364AB2A48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547600" y="796512"/>
          <a:ext cx="1833880" cy="503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283688</xdr:colOff>
      <xdr:row>1</xdr:row>
      <xdr:rowOff>402414</xdr:rowOff>
    </xdr:from>
    <xdr:to>
      <xdr:col>17</xdr:col>
      <xdr:colOff>245191</xdr:colOff>
      <xdr:row>23</xdr:row>
      <xdr:rowOff>7713</xdr:rowOff>
    </xdr:to>
    <xdr:graphicFrame macro="">
      <xdr:nvGraphicFramePr>
        <xdr:cNvPr id="3" name="Chart 2">
          <a:extLst>
            <a:ext uri="{FF2B5EF4-FFF2-40B4-BE49-F238E27FC236}">
              <a16:creationId xmlns:a16="http://schemas.microsoft.com/office/drawing/2014/main" id="{3D051081-2C93-DD81-8AA2-BA5FCECE95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220131</xdr:colOff>
      <xdr:row>9</xdr:row>
      <xdr:rowOff>108804</xdr:rowOff>
    </xdr:from>
    <xdr:to>
      <xdr:col>26</xdr:col>
      <xdr:colOff>340043</xdr:colOff>
      <xdr:row>21</xdr:row>
      <xdr:rowOff>17703</xdr:rowOff>
    </xdr:to>
    <xdr:grpSp>
      <xdr:nvGrpSpPr>
        <xdr:cNvPr id="14" name="Group 13">
          <a:extLst>
            <a:ext uri="{FF2B5EF4-FFF2-40B4-BE49-F238E27FC236}">
              <a16:creationId xmlns:a16="http://schemas.microsoft.com/office/drawing/2014/main" id="{7D95085F-F5CD-5BFC-31DB-5C415E3BA8E5}"/>
            </a:ext>
          </a:extLst>
        </xdr:cNvPr>
        <xdr:cNvGrpSpPr/>
      </xdr:nvGrpSpPr>
      <xdr:grpSpPr>
        <a:xfrm>
          <a:off x="19936881" y="2204304"/>
          <a:ext cx="9654437" cy="2633049"/>
          <a:chOff x="17650881" y="2299554"/>
          <a:chExt cx="9724287" cy="2814024"/>
        </a:xfrm>
      </xdr:grpSpPr>
      <xdr:pic>
        <xdr:nvPicPr>
          <xdr:cNvPr id="13" name="Picture 12">
            <a:extLst>
              <a:ext uri="{FF2B5EF4-FFF2-40B4-BE49-F238E27FC236}">
                <a16:creationId xmlns:a16="http://schemas.microsoft.com/office/drawing/2014/main" id="{2E6FB994-556B-F95F-528C-AD98159DBC9D}"/>
              </a:ext>
            </a:extLst>
          </xdr:cNvPr>
          <xdr:cNvPicPr>
            <a:picLocks noChangeAspect="1"/>
          </xdr:cNvPicPr>
        </xdr:nvPicPr>
        <xdr:blipFill>
          <a:blip xmlns:r="http://schemas.openxmlformats.org/officeDocument/2006/relationships" r:embed="rId1"/>
          <a:stretch>
            <a:fillRect/>
          </a:stretch>
        </xdr:blipFill>
        <xdr:spPr>
          <a:xfrm>
            <a:off x="25098375" y="2762250"/>
            <a:ext cx="2276793" cy="2114845"/>
          </a:xfrm>
          <a:prstGeom prst="rect">
            <a:avLst/>
          </a:prstGeom>
          <a:ln>
            <a:solidFill>
              <a:sysClr val="windowText" lastClr="000000"/>
            </a:solidFill>
          </a:ln>
        </xdr:spPr>
      </xdr:pic>
      <xdr:pic>
        <xdr:nvPicPr>
          <xdr:cNvPr id="11" name="Picture 10">
            <a:extLst>
              <a:ext uri="{FF2B5EF4-FFF2-40B4-BE49-F238E27FC236}">
                <a16:creationId xmlns:a16="http://schemas.microsoft.com/office/drawing/2014/main" id="{EE07149D-8661-3034-223F-C3DD561B1D24}"/>
              </a:ext>
            </a:extLst>
          </xdr:cNvPr>
          <xdr:cNvPicPr>
            <a:picLocks noChangeAspect="1"/>
          </xdr:cNvPicPr>
        </xdr:nvPicPr>
        <xdr:blipFill>
          <a:blip xmlns:r="http://schemas.openxmlformats.org/officeDocument/2006/relationships" r:embed="rId2"/>
          <a:stretch>
            <a:fillRect/>
          </a:stretch>
        </xdr:blipFill>
        <xdr:spPr>
          <a:xfrm>
            <a:off x="20574000" y="2746375"/>
            <a:ext cx="1924319" cy="2114845"/>
          </a:xfrm>
          <a:prstGeom prst="rect">
            <a:avLst/>
          </a:prstGeom>
          <a:ln>
            <a:solidFill>
              <a:sysClr val="windowText" lastClr="000000"/>
            </a:solidFill>
          </a:ln>
        </xdr:spPr>
      </xdr:pic>
      <xdr:grpSp>
        <xdr:nvGrpSpPr>
          <xdr:cNvPr id="2" name="Group 1">
            <a:extLst>
              <a:ext uri="{FF2B5EF4-FFF2-40B4-BE49-F238E27FC236}">
                <a16:creationId xmlns:a16="http://schemas.microsoft.com/office/drawing/2014/main" id="{44DE7B66-BB06-4FB7-A230-ACCCFFF79ABE}"/>
              </a:ext>
            </a:extLst>
          </xdr:cNvPr>
          <xdr:cNvGrpSpPr/>
        </xdr:nvGrpSpPr>
        <xdr:grpSpPr>
          <a:xfrm>
            <a:off x="17650881" y="2299554"/>
            <a:ext cx="8822111" cy="2814024"/>
            <a:chOff x="16622332" y="1402383"/>
            <a:chExt cx="8770793" cy="2875112"/>
          </a:xfrm>
        </xdr:grpSpPr>
        <xdr:sp macro="" textlink="">
          <xdr:nvSpPr>
            <xdr:cNvPr id="3" name="Callout: Right Arrow 2">
              <a:extLst>
                <a:ext uri="{FF2B5EF4-FFF2-40B4-BE49-F238E27FC236}">
                  <a16:creationId xmlns:a16="http://schemas.microsoft.com/office/drawing/2014/main" id="{DE76C03C-B370-F722-4B6C-507C4DEEFA57}"/>
                </a:ext>
              </a:extLst>
            </xdr:cNvPr>
            <xdr:cNvSpPr/>
          </xdr:nvSpPr>
          <xdr:spPr>
            <a:xfrm>
              <a:off x="16622332" y="2201683"/>
              <a:ext cx="2777068" cy="1099606"/>
            </a:xfrm>
            <a:prstGeom prst="rightArrowCallout">
              <a:avLst>
                <a:gd name="adj1" fmla="val 22089"/>
                <a:gd name="adj2" fmla="val 26456"/>
                <a:gd name="adj3" fmla="val 25000"/>
                <a:gd name="adj4" fmla="val 82410"/>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rtlCol="0" anchor="ctr"/>
            <a:lstStyle/>
            <a:p>
              <a:pPr algn="ctr"/>
              <a:r>
                <a:rPr lang="nl-NL" sz="1100" dirty="0" err="1">
                  <a:solidFill>
                    <a:sysClr val="windowText" lastClr="000000"/>
                  </a:solidFill>
                </a:rPr>
                <a:t>Om begin waarden te herstellen: plusje</a:t>
              </a:r>
              <a:r>
                <a:rPr lang="nl-NL" sz="1100" baseline="0" dirty="0" err="1">
                  <a:solidFill>
                    <a:sysClr val="windowText" lastClr="000000"/>
                  </a:solidFill>
                </a:rPr>
                <a:t> uitklappen. LET OP! gebruik = (column verwijzing) om de waarde te herstellen, niet copy/paste</a:t>
              </a:r>
              <a:endParaRPr lang="nl-NL" sz="1100" dirty="0" err="1">
                <a:solidFill>
                  <a:sysClr val="windowText" lastClr="000000"/>
                </a:solidFill>
              </a:endParaRPr>
            </a:p>
          </xdr:txBody>
        </xdr:sp>
        <xdr:pic>
          <xdr:nvPicPr>
            <xdr:cNvPr id="5" name="Graphic 4" descr="Cursor with solid fill">
              <a:extLst>
                <a:ext uri="{FF2B5EF4-FFF2-40B4-BE49-F238E27FC236}">
                  <a16:creationId xmlns:a16="http://schemas.microsoft.com/office/drawing/2014/main" id="{99D56087-3C7E-46EF-DC21-2F3197C320E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rot="16200000">
              <a:off x="20980961" y="1406003"/>
              <a:ext cx="653483" cy="646244"/>
            </a:xfrm>
            <a:prstGeom prst="rect">
              <a:avLst/>
            </a:prstGeom>
          </xdr:spPr>
        </xdr:pic>
        <xdr:pic>
          <xdr:nvPicPr>
            <xdr:cNvPr id="6" name="Graphic 5" descr="Cursor with solid fill">
              <a:extLst>
                <a:ext uri="{FF2B5EF4-FFF2-40B4-BE49-F238E27FC236}">
                  <a16:creationId xmlns:a16="http://schemas.microsoft.com/office/drawing/2014/main" id="{1C933893-0C95-FF8E-73DE-B1256EAD745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rot="1180088">
              <a:off x="24752871" y="3641304"/>
              <a:ext cx="640254" cy="636191"/>
            </a:xfrm>
            <a:prstGeom prst="rect">
              <a:avLst/>
            </a:prstGeom>
          </xdr:spPr>
        </xdr:pic>
      </xdr:grpSp>
      <xdr:pic>
        <xdr:nvPicPr>
          <xdr:cNvPr id="12" name="Picture 11">
            <a:extLst>
              <a:ext uri="{FF2B5EF4-FFF2-40B4-BE49-F238E27FC236}">
                <a16:creationId xmlns:a16="http://schemas.microsoft.com/office/drawing/2014/main" id="{A5FE3A9E-47CA-AD7F-314B-08640FA0C78D}"/>
              </a:ext>
            </a:extLst>
          </xdr:cNvPr>
          <xdr:cNvPicPr>
            <a:picLocks noChangeAspect="1"/>
          </xdr:cNvPicPr>
        </xdr:nvPicPr>
        <xdr:blipFill>
          <a:blip xmlns:r="http://schemas.openxmlformats.org/officeDocument/2006/relationships" r:embed="rId7"/>
          <a:stretch>
            <a:fillRect/>
          </a:stretch>
        </xdr:blipFill>
        <xdr:spPr>
          <a:xfrm>
            <a:off x="22701250" y="2778125"/>
            <a:ext cx="2210108" cy="2095792"/>
          </a:xfrm>
          <a:prstGeom prst="rect">
            <a:avLst/>
          </a:prstGeom>
          <a:ln>
            <a:solidFill>
              <a:sysClr val="windowText" lastClr="000000"/>
            </a:solidFill>
          </a:ln>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426508</xdr:colOff>
      <xdr:row>4</xdr:row>
      <xdr:rowOff>219929</xdr:rowOff>
    </xdr:from>
    <xdr:to>
      <xdr:col>23</xdr:col>
      <xdr:colOff>792095</xdr:colOff>
      <xdr:row>17</xdr:row>
      <xdr:rowOff>1828</xdr:rowOff>
    </xdr:to>
    <xdr:grpSp>
      <xdr:nvGrpSpPr>
        <xdr:cNvPr id="12" name="Group 11">
          <a:extLst>
            <a:ext uri="{FF2B5EF4-FFF2-40B4-BE49-F238E27FC236}">
              <a16:creationId xmlns:a16="http://schemas.microsoft.com/office/drawing/2014/main" id="{09654B4F-C2DF-91FD-7CE8-3F77FDF85AB8}"/>
            </a:ext>
          </a:extLst>
        </xdr:cNvPr>
        <xdr:cNvGrpSpPr/>
      </xdr:nvGrpSpPr>
      <xdr:grpSpPr>
        <a:xfrm>
          <a:off x="19733683" y="1258154"/>
          <a:ext cx="9033337" cy="2944199"/>
          <a:chOff x="17190508" y="1288846"/>
          <a:chExt cx="9043920" cy="2988649"/>
        </a:xfrm>
      </xdr:grpSpPr>
      <xdr:sp macro="" textlink="">
        <xdr:nvSpPr>
          <xdr:cNvPr id="2" name="Callout: Right Arrow 1">
            <a:extLst>
              <a:ext uri="{FF2B5EF4-FFF2-40B4-BE49-F238E27FC236}">
                <a16:creationId xmlns:a16="http://schemas.microsoft.com/office/drawing/2014/main" id="{FE11CB29-1E72-4020-92CA-43022D3FDE14}"/>
              </a:ext>
            </a:extLst>
          </xdr:cNvPr>
          <xdr:cNvSpPr/>
        </xdr:nvSpPr>
        <xdr:spPr>
          <a:xfrm>
            <a:off x="17190508" y="2185463"/>
            <a:ext cx="2777068" cy="1099605"/>
          </a:xfrm>
          <a:prstGeom prst="rightArrowCallout">
            <a:avLst>
              <a:gd name="adj1" fmla="val 22089"/>
              <a:gd name="adj2" fmla="val 26456"/>
              <a:gd name="adj3" fmla="val 25000"/>
              <a:gd name="adj4" fmla="val 82410"/>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rtlCol="0" anchor="ctr"/>
          <a:lstStyle/>
          <a:p>
            <a:pPr algn="ctr"/>
            <a:r>
              <a:rPr lang="nl-NL" sz="1100" dirty="0" err="1">
                <a:solidFill>
                  <a:sysClr val="windowText" lastClr="000000"/>
                </a:solidFill>
              </a:rPr>
              <a:t>Om begin waarden te herstellen: plusje</a:t>
            </a:r>
            <a:r>
              <a:rPr lang="nl-NL" sz="1100" baseline="0" dirty="0" err="1">
                <a:solidFill>
                  <a:sysClr val="windowText" lastClr="000000"/>
                </a:solidFill>
              </a:rPr>
              <a:t> uitklappen. LET OP! gebruik = (column verwijzing) om de waarde te herstellen, niet copy/paste</a:t>
            </a:r>
            <a:endParaRPr lang="nl-NL" sz="1100" dirty="0" err="1">
              <a:solidFill>
                <a:sysClr val="windowText" lastClr="000000"/>
              </a:solidFill>
            </a:endParaRPr>
          </a:p>
        </xdr:txBody>
      </xdr:sp>
      <xdr:grpSp>
        <xdr:nvGrpSpPr>
          <xdr:cNvPr id="7" name="Group 6">
            <a:extLst>
              <a:ext uri="{FF2B5EF4-FFF2-40B4-BE49-F238E27FC236}">
                <a16:creationId xmlns:a16="http://schemas.microsoft.com/office/drawing/2014/main" id="{07F79750-705D-AF16-7E3F-4E26EF246B69}"/>
              </a:ext>
            </a:extLst>
          </xdr:cNvPr>
          <xdr:cNvGrpSpPr/>
        </xdr:nvGrpSpPr>
        <xdr:grpSpPr>
          <a:xfrm>
            <a:off x="20044529" y="1725236"/>
            <a:ext cx="6186724" cy="2393191"/>
            <a:chOff x="18438283" y="1711325"/>
            <a:chExt cx="6190504" cy="2406780"/>
          </a:xfrm>
        </xdr:grpSpPr>
        <xdr:pic>
          <xdr:nvPicPr>
            <xdr:cNvPr id="4" name="Picture 3">
              <a:extLst>
                <a:ext uri="{FF2B5EF4-FFF2-40B4-BE49-F238E27FC236}">
                  <a16:creationId xmlns:a16="http://schemas.microsoft.com/office/drawing/2014/main" id="{CAAEAAB2-4706-C4CC-4A71-683E4A484BE7}"/>
                </a:ext>
              </a:extLst>
            </xdr:cNvPr>
            <xdr:cNvPicPr>
              <a:picLocks noChangeAspect="1"/>
            </xdr:cNvPicPr>
          </xdr:nvPicPr>
          <xdr:blipFill rotWithShape="1">
            <a:blip xmlns:r="http://schemas.openxmlformats.org/officeDocument/2006/relationships" r:embed="rId1"/>
            <a:srcRect b="2507"/>
            <a:stretch>
              <a:fillRect/>
            </a:stretch>
          </xdr:blipFill>
          <xdr:spPr>
            <a:xfrm>
              <a:off x="20017430" y="1711325"/>
              <a:ext cx="2173099" cy="2405268"/>
            </a:xfrm>
            <a:prstGeom prst="rect">
              <a:avLst/>
            </a:prstGeom>
            <a:ln>
              <a:solidFill>
                <a:sysClr val="windowText" lastClr="000000"/>
              </a:solidFill>
            </a:ln>
          </xdr:spPr>
        </xdr:pic>
        <xdr:pic>
          <xdr:nvPicPr>
            <xdr:cNvPr id="5" name="Picture 4">
              <a:extLst>
                <a:ext uri="{FF2B5EF4-FFF2-40B4-BE49-F238E27FC236}">
                  <a16:creationId xmlns:a16="http://schemas.microsoft.com/office/drawing/2014/main" id="{6CAAD6C0-D8BC-A85E-9F23-CC8391AD39FE}"/>
                </a:ext>
              </a:extLst>
            </xdr:cNvPr>
            <xdr:cNvPicPr>
              <a:picLocks noChangeAspect="1"/>
            </xdr:cNvPicPr>
          </xdr:nvPicPr>
          <xdr:blipFill>
            <a:blip xmlns:r="http://schemas.openxmlformats.org/officeDocument/2006/relationships" r:embed="rId2"/>
            <a:stretch>
              <a:fillRect/>
            </a:stretch>
          </xdr:blipFill>
          <xdr:spPr>
            <a:xfrm>
              <a:off x="18438283" y="1711325"/>
              <a:ext cx="1368995" cy="2405268"/>
            </a:xfrm>
            <a:prstGeom prst="rect">
              <a:avLst/>
            </a:prstGeom>
            <a:ln>
              <a:solidFill>
                <a:sysClr val="windowText" lastClr="000000"/>
              </a:solidFill>
            </a:ln>
          </xdr:spPr>
        </xdr:pic>
        <xdr:pic>
          <xdr:nvPicPr>
            <xdr:cNvPr id="6" name="Picture 5">
              <a:extLst>
                <a:ext uri="{FF2B5EF4-FFF2-40B4-BE49-F238E27FC236}">
                  <a16:creationId xmlns:a16="http://schemas.microsoft.com/office/drawing/2014/main" id="{618C7523-77F3-A1EC-D931-D2E74CCEC63F}"/>
                </a:ext>
              </a:extLst>
            </xdr:cNvPr>
            <xdr:cNvPicPr>
              <a:picLocks noChangeAspect="1"/>
            </xdr:cNvPicPr>
          </xdr:nvPicPr>
          <xdr:blipFill rotWithShape="1">
            <a:blip xmlns:r="http://schemas.openxmlformats.org/officeDocument/2006/relationships" r:embed="rId3"/>
            <a:srcRect b="-3496"/>
            <a:stretch>
              <a:fillRect/>
            </a:stretch>
          </xdr:blipFill>
          <xdr:spPr>
            <a:xfrm>
              <a:off x="22400683" y="1711325"/>
              <a:ext cx="2228104" cy="2406780"/>
            </a:xfrm>
            <a:prstGeom prst="rect">
              <a:avLst/>
            </a:prstGeom>
            <a:ln>
              <a:solidFill>
                <a:sysClr val="windowText" lastClr="000000"/>
              </a:solidFill>
            </a:ln>
          </xdr:spPr>
        </xdr:pic>
      </xdr:grpSp>
      <xdr:pic>
        <xdr:nvPicPr>
          <xdr:cNvPr id="10" name="Graphic 9" descr="Cursor with solid fill">
            <a:extLst>
              <a:ext uri="{FF2B5EF4-FFF2-40B4-BE49-F238E27FC236}">
                <a16:creationId xmlns:a16="http://schemas.microsoft.com/office/drawing/2014/main" id="{34E07751-E8BD-EDA8-4ECF-5BC3E990A88C}"/>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rot="16200000">
            <a:off x="21091437" y="1292466"/>
            <a:ext cx="653483" cy="646244"/>
          </a:xfrm>
          <a:prstGeom prst="rect">
            <a:avLst/>
          </a:prstGeom>
        </xdr:spPr>
      </xdr:pic>
      <xdr:pic>
        <xdr:nvPicPr>
          <xdr:cNvPr id="11" name="Graphic 10" descr="Cursor with solid fill">
            <a:extLst>
              <a:ext uri="{FF2B5EF4-FFF2-40B4-BE49-F238E27FC236}">
                <a16:creationId xmlns:a16="http://schemas.microsoft.com/office/drawing/2014/main" id="{39023BA7-FC0C-4236-BBFC-D99C88BB0176}"/>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rot="1180088">
            <a:off x="24752871" y="3641304"/>
            <a:ext cx="640254" cy="636191"/>
          </a:xfrm>
          <a:prstGeom prst="rect">
            <a:avLst/>
          </a:prstGeom>
        </xdr:spPr>
      </xdr:pic>
    </xdr:grpSp>
    <xdr:clientData/>
  </xdr:twoCellAnchor>
</xdr:wsDr>
</file>

<file path=xl/theme/theme1.xml><?xml version="1.0" encoding="utf-8"?>
<a:theme xmlns:a="http://schemas.openxmlformats.org/drawingml/2006/main" name="WL_theme">
  <a:themeElements>
    <a:clrScheme name="wijland v0">
      <a:dk1>
        <a:srgbClr val="000000"/>
      </a:dk1>
      <a:lt1>
        <a:srgbClr val="FFFFFF"/>
      </a:lt1>
      <a:dk2>
        <a:srgbClr val="000000"/>
      </a:dk2>
      <a:lt2>
        <a:srgbClr val="FEFFFF"/>
      </a:lt2>
      <a:accent1>
        <a:srgbClr val="8BC751"/>
      </a:accent1>
      <a:accent2>
        <a:srgbClr val="74CEE2"/>
      </a:accent2>
      <a:accent3>
        <a:srgbClr val="FBDFEB"/>
      </a:accent3>
      <a:accent4>
        <a:srgbClr val="F8ED30"/>
      </a:accent4>
      <a:accent5>
        <a:srgbClr val="50903E"/>
      </a:accent5>
      <a:accent6>
        <a:srgbClr val="B12B33"/>
      </a:accent6>
      <a:hlink>
        <a:srgbClr val="0098F9"/>
      </a:hlink>
      <a:folHlink>
        <a:srgbClr val="0098F8"/>
      </a:folHlink>
    </a:clrScheme>
    <a:fontScheme name="wijland">
      <a:majorFont>
        <a:latin typeface="Montserrat"/>
        <a:ea typeface=""/>
        <a:cs typeface=""/>
      </a:majorFont>
      <a:minorFont>
        <a:latin typeface="Montserrat Medium"/>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dirty="0" err="1" smtClean="0">
            <a:solidFill>
              <a:sysClr val="windowText" lastClr="000000"/>
            </a:solidFill>
          </a:defRPr>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WL_theme" id="{9A8F1B43-CCB1-44AC-958F-50A5CB35469E}" vid="{7F40A871-5554-4516-9E22-D860760DAF6C}"/>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reativecommons.org/licenses/by-sa/4.0/deed.n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rijnvechtenvenen.nl/assets/uploads/files/ANLb2023/vergelijking%20oude%20nieuwe%20tarieven%20RVV%202023%20versie%20241022.pdf" TargetMode="External"/><Relationship Id="rId3" Type="http://schemas.openxmlformats.org/officeDocument/2006/relationships/hyperlink" Target="http://www.welkoop.nl/" TargetMode="External"/><Relationship Id="rId7" Type="http://schemas.openxmlformats.org/officeDocument/2006/relationships/hyperlink" Target="https://www.bij12.nl/onderwerp/natuursubsidies/snl/inhoud/tarieven-en-standaardkostprijzen/" TargetMode="External"/><Relationship Id="rId12" Type="http://schemas.openxmlformats.org/officeDocument/2006/relationships/printerSettings" Target="../printerSettings/printerSettings5.bin"/><Relationship Id="rId2" Type="http://schemas.openxmlformats.org/officeDocument/2006/relationships/hyperlink" Target="https://www.gallagher.eu/nl_nl/s20li-zonnepaneel-schrikdraadapparaat-incl.-accu-0-2j-solar/350318" TargetMode="External"/><Relationship Id="rId1" Type="http://schemas.openxmlformats.org/officeDocument/2006/relationships/hyperlink" Target="http://www.koperwiek.com/" TargetMode="External"/><Relationship Id="rId6" Type="http://schemas.openxmlformats.org/officeDocument/2006/relationships/hyperlink" Target="https://www.bij12.nl/onderwerp/natuursubsidies/snl/inhoud/tarieven-en-standaardkostprijzen/" TargetMode="External"/><Relationship Id="rId11" Type="http://schemas.openxmlformats.org/officeDocument/2006/relationships/hyperlink" Target="https://neutkens-webshop.nl/product/witte-cultuurklaver-bio/" TargetMode="External"/><Relationship Id="rId5" Type="http://schemas.openxmlformats.org/officeDocument/2006/relationships/hyperlink" Target="https://wij.land/wp-content/uploads/2025/06/Onder-de-Streep-2025.pdf" TargetMode="External"/><Relationship Id="rId10" Type="http://schemas.openxmlformats.org/officeDocument/2006/relationships/hyperlink" Target="https://www.rijnvechtenvenen.nl/assets/uploads/files/ANLb2023/vergelijking%20oude%20nieuwe%20tarieven%20RVV%202023%20versie%20241022.pdf" TargetMode="External"/><Relationship Id="rId4" Type="http://schemas.openxmlformats.org/officeDocument/2006/relationships/hyperlink" Target="https://edepot.wur.nl/460412" TargetMode="External"/><Relationship Id="rId9" Type="http://schemas.openxmlformats.org/officeDocument/2006/relationships/hyperlink" Target="https://www.rijnvechtenvenen.nl/assets/uploads/files/ANLb2023/vergelijking%20oude%20nieuwe%20tarieven%20RVV%202023%20versie%20241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F74FE-8971-427C-8457-9392C56EFFE3}">
  <sheetPr>
    <tabColor rgb="FFFFCCFF"/>
  </sheetPr>
  <dimension ref="B1:M41"/>
  <sheetViews>
    <sheetView zoomScale="50" zoomScaleNormal="50" workbookViewId="0">
      <selection activeCell="E36" sqref="E36"/>
    </sheetView>
  </sheetViews>
  <sheetFormatPr defaultColWidth="9.09765625" defaultRowHeight="16.5" outlineLevelRow="1"/>
  <cols>
    <col min="1" max="1" width="9.09765625" style="35"/>
    <col min="2" max="2" width="31.296875" style="35" customWidth="1"/>
    <col min="3" max="3" width="97.19921875" style="35" customWidth="1"/>
    <col min="4" max="4" width="14.59765625" style="35" customWidth="1"/>
    <col min="5" max="5" width="25.8984375" style="35" customWidth="1"/>
    <col min="6" max="16384" width="9.09765625" style="35"/>
  </cols>
  <sheetData>
    <row r="1" spans="2:13" ht="17.100000000000001" thickBot="1"/>
    <row r="2" spans="2:13" ht="24">
      <c r="B2" s="226" t="s">
        <v>0</v>
      </c>
      <c r="C2" s="122"/>
      <c r="D2" s="124"/>
      <c r="E2" s="221"/>
      <c r="G2" s="225"/>
    </row>
    <row r="3" spans="2:13">
      <c r="B3" s="46" t="s">
        <v>1</v>
      </c>
      <c r="C3" s="137"/>
      <c r="E3" s="45"/>
      <c r="G3" s="225"/>
    </row>
    <row r="4" spans="2:13" s="136" customFormat="1" ht="110.45" customHeight="1">
      <c r="B4" s="290" t="s">
        <v>2</v>
      </c>
      <c r="C4" s="291"/>
      <c r="D4" s="74"/>
      <c r="E4" s="239"/>
      <c r="F4" s="74"/>
      <c r="G4" s="74"/>
      <c r="H4"/>
      <c r="I4" s="74"/>
      <c r="J4" s="74"/>
      <c r="K4" s="74"/>
      <c r="L4" s="74"/>
      <c r="M4" s="74"/>
    </row>
    <row r="5" spans="2:13">
      <c r="B5" s="288" t="s">
        <v>3</v>
      </c>
      <c r="E5" s="45"/>
      <c r="J5"/>
    </row>
    <row r="6" spans="2:13" ht="17.100000000000001" thickBot="1">
      <c r="B6" s="289"/>
      <c r="C6" s="61"/>
      <c r="D6" s="61"/>
      <c r="E6" s="224"/>
      <c r="J6"/>
    </row>
    <row r="7" spans="2:13" ht="17.100000000000001" thickBot="1">
      <c r="B7" s="137"/>
    </row>
    <row r="8" spans="2:13">
      <c r="B8" s="121" t="s">
        <v>4</v>
      </c>
      <c r="C8" s="221"/>
      <c r="E8" s="231" t="s">
        <v>5</v>
      </c>
    </row>
    <row r="9" spans="2:13">
      <c r="B9" s="222" t="s">
        <v>6</v>
      </c>
      <c r="C9" s="45" t="s">
        <v>7</v>
      </c>
      <c r="E9" s="232" t="s">
        <v>8</v>
      </c>
    </row>
    <row r="10" spans="2:13" ht="18" customHeight="1">
      <c r="B10" s="222" t="s">
        <v>9</v>
      </c>
      <c r="C10" s="45" t="s">
        <v>10</v>
      </c>
      <c r="E10" s="237" t="s">
        <v>11</v>
      </c>
      <c r="J10"/>
    </row>
    <row r="11" spans="2:13">
      <c r="B11" s="222" t="s">
        <v>12</v>
      </c>
      <c r="C11" s="52" t="s">
        <v>13</v>
      </c>
      <c r="E11" s="300" t="s">
        <v>14</v>
      </c>
    </row>
    <row r="12" spans="2:13" ht="18.95" customHeight="1">
      <c r="B12" s="222" t="s">
        <v>15</v>
      </c>
      <c r="C12" s="52" t="s">
        <v>16</v>
      </c>
      <c r="E12" s="300"/>
      <c r="G12" s="137"/>
      <c r="H12"/>
    </row>
    <row r="13" spans="2:13" ht="18.75" customHeight="1" thickBot="1">
      <c r="B13" s="223" t="s">
        <v>17</v>
      </c>
      <c r="C13" s="227" t="s">
        <v>18</v>
      </c>
      <c r="E13" s="233" t="s">
        <v>19</v>
      </c>
      <c r="F13" s="140"/>
      <c r="G13" s="140"/>
      <c r="H13" s="140"/>
    </row>
    <row r="14" spans="2:13" ht="17.100000000000001" thickBot="1">
      <c r="G14" s="140"/>
    </row>
    <row r="15" spans="2:13">
      <c r="B15" s="228" t="s">
        <v>20</v>
      </c>
      <c r="C15" s="221"/>
      <c r="G15" s="140"/>
    </row>
    <row r="16" spans="2:13" ht="37.9" customHeight="1">
      <c r="B16" s="298" t="s">
        <v>21</v>
      </c>
      <c r="C16" s="299"/>
    </row>
    <row r="17" spans="2:10">
      <c r="B17" s="230" t="s">
        <v>22</v>
      </c>
      <c r="C17" s="229"/>
      <c r="D17"/>
      <c r="F17" s="140"/>
      <c r="G17" s="140"/>
      <c r="H17" s="140"/>
    </row>
    <row r="18" spans="2:10">
      <c r="B18" s="301" t="s">
        <v>23</v>
      </c>
      <c r="C18" s="295"/>
    </row>
    <row r="19" spans="2:10">
      <c r="B19" s="294" t="s">
        <v>24</v>
      </c>
      <c r="C19" s="295"/>
    </row>
    <row r="20" spans="2:10" ht="33" hidden="1" customHeight="1" outlineLevel="1">
      <c r="B20" s="296" t="s">
        <v>25</v>
      </c>
      <c r="C20" s="297"/>
      <c r="G20" s="140"/>
    </row>
    <row r="21" spans="2:10" hidden="1" outlineLevel="1">
      <c r="B21" s="296" t="s">
        <v>26</v>
      </c>
      <c r="C21" s="297"/>
      <c r="G21" s="140"/>
    </row>
    <row r="22" spans="2:10" ht="34.15" hidden="1" customHeight="1" outlineLevel="1">
      <c r="B22" s="296" t="s">
        <v>27</v>
      </c>
      <c r="C22" s="297"/>
      <c r="G22" s="140"/>
    </row>
    <row r="23" spans="2:10" hidden="1" outlineLevel="1">
      <c r="B23" s="296" t="s">
        <v>28</v>
      </c>
      <c r="C23" s="297"/>
      <c r="F23" s="140"/>
      <c r="G23" s="140"/>
      <c r="H23" s="140"/>
      <c r="I23" s="140"/>
      <c r="J23" s="140"/>
    </row>
    <row r="24" spans="2:10" ht="16.899999999999999" hidden="1" customHeight="1" outlineLevel="1">
      <c r="B24" s="296" t="s">
        <v>29</v>
      </c>
      <c r="C24" s="297"/>
      <c r="G24" s="140"/>
    </row>
    <row r="25" spans="2:10" ht="18" hidden="1" customHeight="1" outlineLevel="1">
      <c r="B25" s="296" t="s">
        <v>30</v>
      </c>
      <c r="C25" s="297"/>
      <c r="G25" s="140"/>
    </row>
    <row r="26" spans="2:10" ht="36.6" hidden="1" customHeight="1" outlineLevel="1">
      <c r="B26" s="296" t="s">
        <v>31</v>
      </c>
      <c r="C26" s="297"/>
      <c r="D26" s="74"/>
      <c r="G26" s="140"/>
    </row>
    <row r="27" spans="2:10" ht="16.899999999999999" customHeight="1" collapsed="1">
      <c r="B27" s="294" t="s">
        <v>32</v>
      </c>
      <c r="C27" s="295"/>
      <c r="G27" s="140"/>
    </row>
    <row r="28" spans="2:10" hidden="1" outlineLevel="1">
      <c r="B28" s="296" t="s">
        <v>33</v>
      </c>
      <c r="C28" s="297"/>
      <c r="G28" s="140"/>
    </row>
    <row r="29" spans="2:10" hidden="1" outlineLevel="1">
      <c r="B29" s="296" t="s">
        <v>34</v>
      </c>
      <c r="C29" s="297"/>
      <c r="G29" s="140"/>
    </row>
    <row r="30" spans="2:10" hidden="1" outlineLevel="1">
      <c r="B30" s="296" t="s">
        <v>35</v>
      </c>
      <c r="C30" s="297"/>
    </row>
    <row r="31" spans="2:10" ht="32.65" hidden="1" customHeight="1" outlineLevel="1">
      <c r="B31" s="296" t="s">
        <v>36</v>
      </c>
      <c r="C31" s="297"/>
    </row>
    <row r="32" spans="2:10" collapsed="1">
      <c r="B32" s="294" t="s">
        <v>37</v>
      </c>
      <c r="C32" s="295"/>
      <c r="G32" s="1"/>
    </row>
    <row r="33" spans="2:3">
      <c r="B33" s="230" t="s">
        <v>38</v>
      </c>
      <c r="C33" s="229"/>
    </row>
    <row r="34" spans="2:3">
      <c r="B34" s="298" t="s">
        <v>39</v>
      </c>
      <c r="C34" s="299"/>
    </row>
    <row r="35" spans="2:3">
      <c r="B35" s="302" t="s">
        <v>40</v>
      </c>
      <c r="C35" s="303"/>
    </row>
    <row r="36" spans="2:3" ht="19.7" customHeight="1">
      <c r="B36" s="294" t="s">
        <v>41</v>
      </c>
      <c r="C36" s="295"/>
    </row>
    <row r="37" spans="2:3" ht="31.5" hidden="1" customHeight="1" outlineLevel="1">
      <c r="B37" s="296" t="s">
        <v>42</v>
      </c>
      <c r="C37" s="297"/>
    </row>
    <row r="38" spans="2:3" collapsed="1">
      <c r="B38" s="294" t="s">
        <v>43</v>
      </c>
      <c r="C38" s="295"/>
    </row>
    <row r="39" spans="2:3">
      <c r="B39" s="230" t="s">
        <v>44</v>
      </c>
      <c r="C39" s="229"/>
    </row>
    <row r="40" spans="2:3" ht="17.100000000000001" thickBot="1">
      <c r="B40" s="292" t="s">
        <v>45</v>
      </c>
      <c r="C40" s="293"/>
    </row>
    <row r="41" spans="2:3" ht="33" customHeight="1"/>
  </sheetData>
  <sheetProtection algorithmName="SHA-512" hashValue="WL35xJty+p/Jsp5WDW8naXCbTiTqldN/fJhkd8eouHGQFr1Ze0cOaKhJfv9ue4mKTiU276eaT/VbQY8fIYBfCA==" saltValue="S1UrEBTh9fS2uXP7W/Pn2w==" spinCount="100000" sheet="1" objects="1" scenarios="1" formatCells="0" formatColumns="0" formatRows="0"/>
  <dataConsolidate/>
  <mergeCells count="25">
    <mergeCell ref="E11:E12"/>
    <mergeCell ref="B18:C18"/>
    <mergeCell ref="B35:C35"/>
    <mergeCell ref="B16:C16"/>
    <mergeCell ref="B19:C19"/>
    <mergeCell ref="B25:C25"/>
    <mergeCell ref="B24:C24"/>
    <mergeCell ref="B23:C23"/>
    <mergeCell ref="B22:C22"/>
    <mergeCell ref="B20:C20"/>
    <mergeCell ref="B21:C21"/>
    <mergeCell ref="B5:B6"/>
    <mergeCell ref="B4:C4"/>
    <mergeCell ref="B40:C40"/>
    <mergeCell ref="B38:C38"/>
    <mergeCell ref="B37:C37"/>
    <mergeCell ref="B36:C36"/>
    <mergeCell ref="B34:C34"/>
    <mergeCell ref="B32:C32"/>
    <mergeCell ref="B31:C31"/>
    <mergeCell ref="B30:C30"/>
    <mergeCell ref="B29:C29"/>
    <mergeCell ref="B28:C28"/>
    <mergeCell ref="B27:C27"/>
    <mergeCell ref="B26:C26"/>
  </mergeCells>
  <hyperlinks>
    <hyperlink ref="B5" r:id="rId1" xr:uid="{3A23FBA2-3A6E-456A-B04D-A1906DFDF96D}"/>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FC71C-A431-4891-8164-7D9796A5BBD2}">
  <sheetPr>
    <tabColor theme="7"/>
  </sheetPr>
  <dimension ref="A1:R28"/>
  <sheetViews>
    <sheetView topLeftCell="F1" zoomScale="70" zoomScaleNormal="70" workbookViewId="0">
      <selection activeCell="G26" sqref="G26"/>
    </sheetView>
  </sheetViews>
  <sheetFormatPr defaultColWidth="9.09765625" defaultRowHeight="16.5"/>
  <cols>
    <col min="1" max="1" width="17.5" style="35" hidden="1" customWidth="1"/>
    <col min="2" max="2" width="32.59765625" style="35" customWidth="1"/>
    <col min="3" max="3" width="16.5" style="34" customWidth="1"/>
    <col min="4" max="4" width="16.5" style="34" hidden="1" customWidth="1"/>
    <col min="5" max="5" width="9.09765625" style="35"/>
    <col min="6" max="6" width="50.09765625" style="35" bestFit="1" customWidth="1"/>
    <col min="7" max="8" width="16.5" style="35" customWidth="1"/>
    <col min="9" max="16384" width="9.09765625" style="35"/>
  </cols>
  <sheetData>
    <row r="1" spans="1:16" ht="17.100000000000001" thickBot="1"/>
    <row r="2" spans="1:16" ht="33">
      <c r="A2" s="304" t="s">
        <v>46</v>
      </c>
      <c r="B2" s="305"/>
      <c r="C2" s="306"/>
      <c r="D2" s="169"/>
      <c r="F2" s="121" t="s">
        <v>47</v>
      </c>
      <c r="G2" s="209" t="s">
        <v>48</v>
      </c>
      <c r="H2" s="214" t="s">
        <v>49</v>
      </c>
    </row>
    <row r="3" spans="1:16">
      <c r="A3" s="44" t="s">
        <v>50</v>
      </c>
      <c r="B3" s="60" t="s">
        <v>51</v>
      </c>
      <c r="C3" s="244">
        <v>46070</v>
      </c>
      <c r="D3" s="170"/>
      <c r="F3" s="46" t="s">
        <v>52</v>
      </c>
      <c r="G3" s="34">
        <f>'Invoer | Kosten'!C3</f>
        <v>500</v>
      </c>
      <c r="H3" s="216">
        <f>'Invoer | Kosten'!D3</f>
        <v>400</v>
      </c>
      <c r="I3" s="198"/>
    </row>
    <row r="4" spans="1:16">
      <c r="A4" s="44" t="s">
        <v>53</v>
      </c>
      <c r="B4" s="60" t="s">
        <v>54</v>
      </c>
      <c r="C4" s="245" t="s">
        <v>55</v>
      </c>
      <c r="F4" s="46" t="s">
        <v>56</v>
      </c>
      <c r="G4" s="34">
        <f>'Invoer | Kosten'!C4</f>
        <v>0</v>
      </c>
      <c r="H4" s="216">
        <f>'Invoer | Kosten'!D4</f>
        <v>200</v>
      </c>
      <c r="I4" s="198"/>
    </row>
    <row r="5" spans="1:16">
      <c r="A5" s="44" t="s">
        <v>57</v>
      </c>
      <c r="B5" s="60" t="s">
        <v>58</v>
      </c>
      <c r="C5" s="245" t="s">
        <v>59</v>
      </c>
      <c r="F5" s="46" t="s">
        <v>60</v>
      </c>
      <c r="G5" s="34">
        <f>'Invoer | Kosten'!C5</f>
        <v>0</v>
      </c>
      <c r="H5" s="217">
        <f>'Invoer | Kosten'!D5</f>
        <v>300</v>
      </c>
      <c r="I5" s="198"/>
    </row>
    <row r="6" spans="1:16">
      <c r="A6" s="44" t="s">
        <v>61</v>
      </c>
      <c r="B6" s="60" t="s">
        <v>62</v>
      </c>
      <c r="C6" s="245" t="s">
        <v>63</v>
      </c>
      <c r="F6" s="44" t="s">
        <v>64</v>
      </c>
      <c r="G6" s="34" t="str">
        <f>'Invoer | Kosten'!C6</f>
        <v>niet biologisch</v>
      </c>
      <c r="H6" s="211"/>
      <c r="I6" s="198"/>
    </row>
    <row r="7" spans="1:16" ht="17.100000000000001" thickBot="1">
      <c r="A7" s="44" t="s">
        <v>65</v>
      </c>
      <c r="B7" s="60" t="s">
        <v>66</v>
      </c>
      <c r="C7" s="245">
        <v>123456</v>
      </c>
      <c r="F7" s="68" t="s">
        <v>67</v>
      </c>
      <c r="G7" s="212" t="str">
        <f>'Invoer | Kosten'!C7</f>
        <v>vlechten</v>
      </c>
      <c r="H7" s="213"/>
    </row>
    <row r="8" spans="1:16">
      <c r="A8" s="36" t="s">
        <v>68</v>
      </c>
      <c r="B8" s="67" t="s">
        <v>69</v>
      </c>
      <c r="C8" s="246" t="s">
        <v>70</v>
      </c>
    </row>
    <row r="9" spans="1:16" ht="17.100000000000001" thickBot="1">
      <c r="A9" s="44" t="s">
        <v>71</v>
      </c>
      <c r="B9" s="60" t="s">
        <v>72</v>
      </c>
      <c r="C9" s="245" t="s">
        <v>73</v>
      </c>
    </row>
    <row r="10" spans="1:16">
      <c r="A10" s="44" t="s">
        <v>74</v>
      </c>
      <c r="B10" s="60" t="s">
        <v>75</v>
      </c>
      <c r="C10" s="245">
        <v>70</v>
      </c>
      <c r="F10" s="141" t="s">
        <v>76</v>
      </c>
      <c r="G10" s="204"/>
      <c r="H10" s="210"/>
      <c r="J10" s="251" t="s">
        <v>77</v>
      </c>
      <c r="K10" s="251" t="s">
        <v>76</v>
      </c>
      <c r="L10" s="251" t="s">
        <v>78</v>
      </c>
      <c r="M10" s="251" t="s">
        <v>79</v>
      </c>
      <c r="N10" s="251" t="s">
        <v>80</v>
      </c>
      <c r="O10" s="251" t="s">
        <v>81</v>
      </c>
      <c r="P10" s="251" t="s">
        <v>82</v>
      </c>
    </row>
    <row r="11" spans="1:16">
      <c r="A11" s="44" t="s">
        <v>83</v>
      </c>
      <c r="B11" s="60" t="s">
        <v>84</v>
      </c>
      <c r="C11" s="245">
        <v>10</v>
      </c>
      <c r="F11" s="44" t="s">
        <v>85</v>
      </c>
      <c r="G11" s="198">
        <f>'Invoer | Kosten'!M43</f>
        <v>14855</v>
      </c>
      <c r="H11" s="45" t="s">
        <v>86</v>
      </c>
      <c r="J11" s="35">
        <v>0</v>
      </c>
      <c r="K11" s="198">
        <f>-G11</f>
        <v>-14855</v>
      </c>
      <c r="L11" s="198">
        <f>G15</f>
        <v>11141.25</v>
      </c>
      <c r="N11" s="198">
        <f>SUM(K11:L11)</f>
        <v>-3713.75</v>
      </c>
      <c r="O11" s="198">
        <f>SUM(K11:M11)</f>
        <v>-3713.75</v>
      </c>
      <c r="P11" s="35">
        <v>0</v>
      </c>
    </row>
    <row r="12" spans="1:16">
      <c r="A12" s="36" t="s">
        <v>87</v>
      </c>
      <c r="B12" s="67" t="s">
        <v>88</v>
      </c>
      <c r="C12" s="246">
        <v>10</v>
      </c>
      <c r="F12" s="44" t="s">
        <v>89</v>
      </c>
      <c r="G12" s="198">
        <f>'Invoer | Kosten'!M69</f>
        <v>1664.13</v>
      </c>
      <c r="H12" s="45" t="s">
        <v>90</v>
      </c>
      <c r="J12" s="35">
        <v>1</v>
      </c>
      <c r="K12" s="198">
        <f t="shared" ref="K12:K21" si="0">-$G$12</f>
        <v>-1664.13</v>
      </c>
      <c r="L12" s="198">
        <f t="shared" ref="L12:L21" si="1">$G$16</f>
        <v>3050</v>
      </c>
      <c r="N12" s="198">
        <f t="shared" ref="N12:N21" si="2">SUM(K12:L12)+N11</f>
        <v>-2327.88</v>
      </c>
      <c r="O12" s="198">
        <f t="shared" ref="O12:O21" si="3">SUM(K12:M12)+O11</f>
        <v>-2327.88</v>
      </c>
      <c r="P12" s="35">
        <v>0</v>
      </c>
    </row>
    <row r="13" spans="1:16">
      <c r="A13" s="44"/>
      <c r="B13" s="60" t="s">
        <v>91</v>
      </c>
      <c r="C13" s="247"/>
      <c r="D13" s="34" t="s">
        <v>92</v>
      </c>
      <c r="F13" s="44"/>
      <c r="G13" s="198"/>
      <c r="H13" s="45"/>
      <c r="J13" s="35">
        <v>2</v>
      </c>
      <c r="K13" s="198">
        <f t="shared" si="0"/>
        <v>-1664.13</v>
      </c>
      <c r="L13" s="198">
        <f t="shared" si="1"/>
        <v>3050</v>
      </c>
      <c r="N13" s="198">
        <f t="shared" si="2"/>
        <v>-942.01000000000022</v>
      </c>
      <c r="O13" s="198">
        <f t="shared" si="3"/>
        <v>-942.01000000000022</v>
      </c>
    </row>
    <row r="14" spans="1:16">
      <c r="A14" s="44" t="s">
        <v>93</v>
      </c>
      <c r="B14" s="60" t="s">
        <v>94</v>
      </c>
      <c r="C14" s="245">
        <v>100</v>
      </c>
      <c r="D14" s="34">
        <v>1</v>
      </c>
      <c r="F14" s="142" t="s">
        <v>78</v>
      </c>
      <c r="G14" s="198"/>
      <c r="H14" s="45"/>
      <c r="J14" s="35">
        <v>3</v>
      </c>
      <c r="K14" s="198">
        <f t="shared" si="0"/>
        <v>-1664.13</v>
      </c>
      <c r="L14" s="198">
        <f t="shared" si="1"/>
        <v>3050</v>
      </c>
      <c r="N14" s="198">
        <f t="shared" si="2"/>
        <v>443.85999999999967</v>
      </c>
      <c r="O14" s="198">
        <f t="shared" si="3"/>
        <v>443.85999999999967</v>
      </c>
      <c r="P14" s="35">
        <v>0.5</v>
      </c>
    </row>
    <row r="15" spans="1:16">
      <c r="A15" s="44" t="s">
        <v>95</v>
      </c>
      <c r="B15" s="60" t="s">
        <v>96</v>
      </c>
      <c r="C15" s="245">
        <v>0</v>
      </c>
      <c r="D15" s="34">
        <v>0.6</v>
      </c>
      <c r="F15" s="44" t="s">
        <v>97</v>
      </c>
      <c r="G15" s="198">
        <f>'Invoer | Baten'!K5</f>
        <v>11141.25</v>
      </c>
      <c r="H15" s="45" t="s">
        <v>86</v>
      </c>
      <c r="J15" s="35">
        <v>4</v>
      </c>
      <c r="K15" s="198">
        <f t="shared" si="0"/>
        <v>-1664.13</v>
      </c>
      <c r="L15" s="198">
        <f t="shared" si="1"/>
        <v>3050</v>
      </c>
      <c r="N15" s="198">
        <f t="shared" si="2"/>
        <v>1829.7299999999996</v>
      </c>
      <c r="O15" s="198">
        <f t="shared" si="3"/>
        <v>1829.7299999999996</v>
      </c>
      <c r="P15" s="35">
        <v>11.5</v>
      </c>
    </row>
    <row r="16" spans="1:16">
      <c r="A16" s="44" t="s">
        <v>98</v>
      </c>
      <c r="B16" s="60" t="s">
        <v>99</v>
      </c>
      <c r="C16" s="245">
        <v>15</v>
      </c>
      <c r="D16" s="34">
        <v>0.23</v>
      </c>
      <c r="F16" s="44" t="s">
        <v>100</v>
      </c>
      <c r="G16" s="198">
        <f>'Invoer | Baten'!K24</f>
        <v>3050</v>
      </c>
      <c r="H16" s="45" t="s">
        <v>90</v>
      </c>
      <c r="J16" s="35">
        <v>5</v>
      </c>
      <c r="K16" s="198">
        <f t="shared" si="0"/>
        <v>-1664.13</v>
      </c>
      <c r="L16" s="198">
        <f t="shared" si="1"/>
        <v>3050</v>
      </c>
      <c r="N16" s="198">
        <f t="shared" si="2"/>
        <v>3215.5999999999995</v>
      </c>
      <c r="O16" s="198">
        <f t="shared" si="3"/>
        <v>3215.5999999999995</v>
      </c>
    </row>
    <row r="17" spans="1:18">
      <c r="A17" s="44" t="s">
        <v>101</v>
      </c>
      <c r="B17" s="60" t="s">
        <v>102</v>
      </c>
      <c r="C17" s="245">
        <v>15</v>
      </c>
      <c r="D17" s="34">
        <v>0.5</v>
      </c>
      <c r="F17" s="53" t="s">
        <v>103</v>
      </c>
      <c r="G17" s="198">
        <f>'Invoer | Baten'!K39</f>
        <v>1384.32095</v>
      </c>
      <c r="H17" s="45" t="s">
        <v>90</v>
      </c>
      <c r="J17" s="35">
        <v>6</v>
      </c>
      <c r="K17" s="198">
        <f t="shared" si="0"/>
        <v>-1664.13</v>
      </c>
      <c r="L17" s="198">
        <f t="shared" si="1"/>
        <v>3050</v>
      </c>
      <c r="M17" s="198">
        <f>$G$17</f>
        <v>1384.32095</v>
      </c>
      <c r="N17" s="198">
        <f t="shared" si="2"/>
        <v>4601.4699999999993</v>
      </c>
      <c r="O17" s="198">
        <f t="shared" si="3"/>
        <v>5985.7909499999996</v>
      </c>
    </row>
    <row r="18" spans="1:18">
      <c r="A18" s="44" t="s">
        <v>104</v>
      </c>
      <c r="B18" s="60" t="s">
        <v>105</v>
      </c>
      <c r="C18" s="245">
        <v>0</v>
      </c>
      <c r="D18" s="34">
        <v>0.05</v>
      </c>
      <c r="F18" s="44"/>
      <c r="H18" s="45"/>
      <c r="J18" s="35">
        <v>7</v>
      </c>
      <c r="K18" s="198">
        <f t="shared" si="0"/>
        <v>-1664.13</v>
      </c>
      <c r="L18" s="198">
        <f t="shared" si="1"/>
        <v>3050</v>
      </c>
      <c r="M18" s="198">
        <f>$G$17</f>
        <v>1384.32095</v>
      </c>
      <c r="N18" s="198">
        <f t="shared" si="2"/>
        <v>5987.3399999999992</v>
      </c>
      <c r="O18" s="198">
        <f t="shared" si="3"/>
        <v>8755.9818999999989</v>
      </c>
    </row>
    <row r="19" spans="1:18">
      <c r="A19" s="44" t="s">
        <v>106</v>
      </c>
      <c r="B19" s="60" t="s">
        <v>107</v>
      </c>
      <c r="C19" s="245">
        <v>0</v>
      </c>
      <c r="D19" s="34">
        <v>0.05</v>
      </c>
      <c r="F19" s="142" t="s">
        <v>108</v>
      </c>
      <c r="H19" s="45"/>
      <c r="J19" s="35">
        <v>8</v>
      </c>
      <c r="K19" s="198">
        <f t="shared" si="0"/>
        <v>-1664.13</v>
      </c>
      <c r="L19" s="198">
        <f t="shared" si="1"/>
        <v>3050</v>
      </c>
      <c r="M19" s="198">
        <f>$G$17</f>
        <v>1384.32095</v>
      </c>
      <c r="N19" s="198">
        <f t="shared" si="2"/>
        <v>7373.2099999999991</v>
      </c>
      <c r="O19" s="198">
        <f t="shared" si="3"/>
        <v>11526.172849999999</v>
      </c>
    </row>
    <row r="20" spans="1:18">
      <c r="A20" s="44" t="s">
        <v>109</v>
      </c>
      <c r="B20" s="60" t="s">
        <v>110</v>
      </c>
      <c r="C20" s="245">
        <v>0</v>
      </c>
      <c r="D20" s="34">
        <v>1</v>
      </c>
      <c r="F20" s="44" t="s">
        <v>86</v>
      </c>
      <c r="G20" s="182">
        <f>G15-G11</f>
        <v>-3713.75</v>
      </c>
      <c r="H20" s="186"/>
      <c r="J20" s="35">
        <v>9</v>
      </c>
      <c r="K20" s="198">
        <f t="shared" si="0"/>
        <v>-1664.13</v>
      </c>
      <c r="L20" s="198">
        <f t="shared" si="1"/>
        <v>3050</v>
      </c>
      <c r="M20" s="198">
        <f>$G$17</f>
        <v>1384.32095</v>
      </c>
      <c r="N20" s="198">
        <f t="shared" si="2"/>
        <v>8759.0799999999981</v>
      </c>
      <c r="O20" s="198">
        <f t="shared" si="3"/>
        <v>14296.363799999999</v>
      </c>
    </row>
    <row r="21" spans="1:18">
      <c r="A21" s="44" t="s">
        <v>111</v>
      </c>
      <c r="B21" s="60" t="s">
        <v>112</v>
      </c>
      <c r="C21" s="245">
        <v>0</v>
      </c>
      <c r="D21" s="34">
        <v>1</v>
      </c>
      <c r="F21" s="44" t="s">
        <v>113</v>
      </c>
      <c r="G21" s="182">
        <f>G16-G12</f>
        <v>1385.87</v>
      </c>
      <c r="H21" s="45" t="s">
        <v>90</v>
      </c>
      <c r="J21" s="35">
        <v>10</v>
      </c>
      <c r="K21" s="198">
        <f t="shared" si="0"/>
        <v>-1664.13</v>
      </c>
      <c r="L21" s="198">
        <f t="shared" si="1"/>
        <v>3050</v>
      </c>
      <c r="M21" s="198">
        <f>$G$17</f>
        <v>1384.32095</v>
      </c>
      <c r="N21" s="198">
        <f t="shared" si="2"/>
        <v>10144.949999999997</v>
      </c>
      <c r="O21" s="198">
        <f t="shared" si="3"/>
        <v>17066.554749999999</v>
      </c>
    </row>
    <row r="22" spans="1:18">
      <c r="A22" s="44" t="s">
        <v>114</v>
      </c>
      <c r="B22" s="60" t="s">
        <v>115</v>
      </c>
      <c r="C22" s="248">
        <f>SUMPRODUCT(C14:C21,D14:D21)/SUM(C10:C12)</f>
        <v>1.2327777777777778</v>
      </c>
      <c r="F22" s="44" t="s">
        <v>116</v>
      </c>
      <c r="G22" s="215">
        <f>IF(G20&gt;0,0,ABS(G20/G21))</f>
        <v>2.6797246494981493</v>
      </c>
      <c r="H22" s="45" t="s">
        <v>117</v>
      </c>
    </row>
    <row r="23" spans="1:18" ht="17.100000000000001" thickBot="1">
      <c r="A23" s="44" t="s">
        <v>118</v>
      </c>
      <c r="B23" s="60" t="s">
        <v>119</v>
      </c>
      <c r="C23" s="245" t="s">
        <v>120</v>
      </c>
      <c r="F23" s="218" t="s">
        <v>121</v>
      </c>
      <c r="G23" s="219">
        <f>IF(G22&gt;5,5+ABS((G20+G21*5)/SUM(G21,G17)),G22)</f>
        <v>2.6797246494981493</v>
      </c>
      <c r="H23" s="220" t="s">
        <v>117</v>
      </c>
    </row>
    <row r="24" spans="1:18" ht="17.100000000000001" thickBot="1">
      <c r="A24" s="68" t="s">
        <v>122</v>
      </c>
      <c r="B24" s="69" t="s">
        <v>123</v>
      </c>
      <c r="C24" s="249" t="s">
        <v>124</v>
      </c>
    </row>
    <row r="25" spans="1:18">
      <c r="B25" s="60"/>
    </row>
    <row r="27" spans="1:18">
      <c r="B27" s="137" t="s">
        <v>125</v>
      </c>
      <c r="F27"/>
      <c r="G27" s="42"/>
    </row>
    <row r="28" spans="1:18" ht="145.15" customHeight="1">
      <c r="B28" s="307"/>
      <c r="C28" s="307"/>
      <c r="D28" s="307"/>
      <c r="E28" s="307"/>
      <c r="F28" s="307"/>
      <c r="G28" s="307"/>
      <c r="H28" s="307"/>
      <c r="I28" s="307"/>
      <c r="J28" s="307"/>
      <c r="K28" s="307"/>
      <c r="L28" s="307"/>
      <c r="M28" s="307"/>
      <c r="N28" s="307"/>
      <c r="O28" s="307"/>
      <c r="P28" s="307"/>
      <c r="Q28" s="307"/>
      <c r="R28" s="307"/>
    </row>
  </sheetData>
  <sheetProtection algorithmName="SHA-512" hashValue="2Y63Q34Hgez4AtV8yjTMaFskavSoNN7Nq9jfMFgW/ptZ5gzUoNrqvxnWgK497X8prc+TqfFVaCmdc8uSohEtxw==" saltValue="/l8XOdlEui6REr2zpX1z1g==" spinCount="100000" sheet="1" scenarios="1" formatCells="0" formatColumns="0" formatRows="0"/>
  <mergeCells count="2">
    <mergeCell ref="A2:C2"/>
    <mergeCell ref="B28:R28"/>
  </mergeCells>
  <conditionalFormatting sqref="G20:H20 G21">
    <cfRule type="cellIs" dxfId="6" priority="1" operator="greaterThan">
      <formula>0</formula>
    </cfRule>
    <cfRule type="cellIs" dxfId="5" priority="2" operator="lessThan">
      <formula>0</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12B8F-0CD4-4804-832C-930BA7EF3770}">
  <sheetPr>
    <tabColor theme="5"/>
  </sheetPr>
  <dimension ref="A1:AB70"/>
  <sheetViews>
    <sheetView tabSelected="1" zoomScale="40" zoomScaleNormal="40" workbookViewId="0">
      <selection activeCell="F7" sqref="F7"/>
    </sheetView>
  </sheetViews>
  <sheetFormatPr defaultColWidth="9.09765625" defaultRowHeight="16.5" outlineLevelCol="1"/>
  <cols>
    <col min="1" max="1" width="25.296875" style="35" customWidth="1"/>
    <col min="2" max="2" width="33.69921875" style="35" bestFit="1" customWidth="1"/>
    <col min="3" max="3" width="15.296875" style="35" customWidth="1"/>
    <col min="4" max="4" width="11.8984375" style="35" customWidth="1"/>
    <col min="5" max="5" width="12.69921875" style="35" customWidth="1"/>
    <col min="6" max="6" width="7.296875" style="35" customWidth="1" outlineLevel="1"/>
    <col min="7" max="7" width="14.5" style="35" bestFit="1" customWidth="1"/>
    <col min="8" max="8" width="15.09765625" style="35" customWidth="1"/>
    <col min="9" max="9" width="11.09765625" style="42" customWidth="1" outlineLevel="1"/>
    <col min="10" max="10" width="15.796875" style="35" bestFit="1" customWidth="1"/>
    <col min="11" max="11" width="6.69921875" style="35" customWidth="1" outlineLevel="1"/>
    <col min="12" max="12" width="5.09765625" style="35" customWidth="1"/>
    <col min="13" max="13" width="11.5" style="35" customWidth="1"/>
    <col min="14" max="14" width="10.5" style="35" bestFit="1" customWidth="1"/>
    <col min="15" max="15" width="10.5" style="35" customWidth="1"/>
    <col min="16" max="16384" width="9.09765625" style="35"/>
  </cols>
  <sheetData>
    <row r="1" spans="1:28" ht="17.100000000000001" thickBot="1">
      <c r="B1" s="267" t="s">
        <v>126</v>
      </c>
      <c r="C1" s="268"/>
      <c r="D1" s="268"/>
      <c r="E1" s="268"/>
      <c r="F1" s="268"/>
      <c r="G1" s="268"/>
      <c r="H1" s="268"/>
      <c r="I1" s="268"/>
      <c r="J1" s="268"/>
      <c r="K1" s="268"/>
      <c r="L1" s="268"/>
      <c r="M1" s="268"/>
      <c r="N1" s="269"/>
      <c r="O1" s="250" t="s">
        <v>125</v>
      </c>
    </row>
    <row r="2" spans="1:28" ht="33.6" customHeight="1">
      <c r="A2" s="231" t="s">
        <v>5</v>
      </c>
      <c r="B2" s="44"/>
      <c r="C2" s="65" t="s">
        <v>48</v>
      </c>
      <c r="D2" s="281" t="s">
        <v>49</v>
      </c>
      <c r="E2" s="281"/>
      <c r="J2" s="66"/>
      <c r="K2" s="66"/>
      <c r="L2" s="66"/>
      <c r="M2" s="66"/>
      <c r="N2" s="45"/>
      <c r="O2" s="251"/>
    </row>
    <row r="3" spans="1:28">
      <c r="A3" s="232" t="s">
        <v>8</v>
      </c>
      <c r="B3" s="46" t="s">
        <v>127</v>
      </c>
      <c r="C3" s="150">
        <v>500</v>
      </c>
      <c r="D3" s="282">
        <f>F3</f>
        <v>400</v>
      </c>
      <c r="E3" s="282"/>
      <c r="F3" s="103">
        <f>Uitgangspunten!E13</f>
        <v>400</v>
      </c>
      <c r="N3" s="64"/>
      <c r="O3" s="252"/>
    </row>
    <row r="4" spans="1:28" ht="16.5" customHeight="1">
      <c r="A4" s="284" t="s">
        <v>128</v>
      </c>
      <c r="B4" s="46" t="s">
        <v>129</v>
      </c>
      <c r="C4" s="150">
        <v>0</v>
      </c>
      <c r="D4" s="282">
        <v>200</v>
      </c>
      <c r="E4" s="282"/>
      <c r="F4" s="103">
        <f>Uitgangspunten!F13</f>
        <v>300</v>
      </c>
      <c r="N4" s="64"/>
      <c r="O4" s="252"/>
      <c r="R4" s="35" t="s">
        <v>130</v>
      </c>
    </row>
    <row r="5" spans="1:28">
      <c r="A5" s="285"/>
      <c r="B5" s="46" t="s">
        <v>60</v>
      </c>
      <c r="C5" s="150">
        <v>0</v>
      </c>
      <c r="D5" s="280">
        <v>300</v>
      </c>
      <c r="E5" s="280"/>
      <c r="N5" s="64"/>
      <c r="O5" s="252"/>
    </row>
    <row r="6" spans="1:28">
      <c r="A6" s="285"/>
      <c r="B6" s="44" t="s">
        <v>64</v>
      </c>
      <c r="C6" s="151" t="s">
        <v>131</v>
      </c>
      <c r="D6" s="115"/>
      <c r="N6" s="45"/>
      <c r="O6" s="251"/>
    </row>
    <row r="7" spans="1:28">
      <c r="A7" s="286" t="s">
        <v>14</v>
      </c>
      <c r="B7" s="44" t="s">
        <v>67</v>
      </c>
      <c r="C7" s="151" t="s">
        <v>132</v>
      </c>
      <c r="D7" s="115"/>
      <c r="N7" s="45"/>
      <c r="O7" s="251"/>
    </row>
    <row r="8" spans="1:28">
      <c r="A8" s="286"/>
      <c r="B8" s="143" t="s">
        <v>133</v>
      </c>
      <c r="C8" s="152">
        <v>30</v>
      </c>
      <c r="D8" s="240" t="s">
        <v>134</v>
      </c>
      <c r="F8" s="145">
        <v>30</v>
      </c>
      <c r="G8" s="146"/>
      <c r="H8" s="37"/>
      <c r="I8" s="146"/>
      <c r="J8" s="37"/>
      <c r="K8" s="37"/>
      <c r="L8" s="37"/>
      <c r="M8" s="37"/>
      <c r="N8" s="38"/>
      <c r="O8" s="251"/>
    </row>
    <row r="9" spans="1:28" ht="17.100000000000001" thickBot="1">
      <c r="A9" s="233" t="s">
        <v>19</v>
      </c>
      <c r="B9" s="62" t="s">
        <v>135</v>
      </c>
      <c r="C9" s="283" t="s">
        <v>136</v>
      </c>
      <c r="D9" s="283"/>
      <c r="E9" s="283"/>
      <c r="F9" s="283"/>
      <c r="G9" s="283"/>
      <c r="H9" s="63" t="s">
        <v>137</v>
      </c>
      <c r="I9" s="147"/>
      <c r="J9" s="63" t="s">
        <v>138</v>
      </c>
      <c r="K9" s="63"/>
      <c r="L9" s="56"/>
      <c r="M9" s="92" t="s">
        <v>76</v>
      </c>
      <c r="N9" s="52"/>
      <c r="O9" s="253"/>
    </row>
    <row r="10" spans="1:28">
      <c r="B10" s="44" t="s">
        <v>139</v>
      </c>
      <c r="C10" s="273" t="s">
        <v>124</v>
      </c>
      <c r="D10" s="273"/>
      <c r="E10" s="273"/>
      <c r="F10" s="273"/>
      <c r="G10" s="273"/>
      <c r="H10" s="199">
        <f t="shared" ref="H10:H16" si="0">I10</f>
        <v>800</v>
      </c>
      <c r="I10" s="104">
        <f>IF($C$10="ja",Uitgangspunten!D5,0)</f>
        <v>800</v>
      </c>
      <c r="J10" s="153">
        <f>K10</f>
        <v>1</v>
      </c>
      <c r="K10" s="3">
        <f>IF($C10="ja",Uitgangspunten!E5,0)</f>
        <v>1</v>
      </c>
      <c r="L10" s="34"/>
      <c r="M10" s="183">
        <f t="shared" ref="M10:M16" si="1">J10*H10</f>
        <v>800</v>
      </c>
      <c r="N10" s="45"/>
      <c r="O10" s="251"/>
    </row>
    <row r="11" spans="1:28">
      <c r="B11" s="44" t="s">
        <v>140</v>
      </c>
      <c r="C11" s="273" t="s">
        <v>124</v>
      </c>
      <c r="D11" s="273"/>
      <c r="E11" s="273"/>
      <c r="F11" s="273"/>
      <c r="G11" s="273"/>
      <c r="H11" s="199">
        <f>I11</f>
        <v>450</v>
      </c>
      <c r="I11" s="104">
        <f>IF($C$11="ja",Uitgangspunten!D6,0)</f>
        <v>450</v>
      </c>
      <c r="J11" s="153">
        <f t="shared" ref="J11:J16" si="2">K11</f>
        <v>1</v>
      </c>
      <c r="K11" s="3">
        <f>IF($C11="ja",Uitgangspunten!E6,0)</f>
        <v>1</v>
      </c>
      <c r="L11" s="34"/>
      <c r="M11" s="183">
        <f t="shared" si="1"/>
        <v>450</v>
      </c>
      <c r="N11" s="45"/>
      <c r="O11" s="251"/>
    </row>
    <row r="12" spans="1:28">
      <c r="B12" s="44" t="s">
        <v>141</v>
      </c>
      <c r="C12" s="273" t="s">
        <v>124</v>
      </c>
      <c r="D12" s="273"/>
      <c r="E12" s="273"/>
      <c r="F12" s="273"/>
      <c r="G12" s="273"/>
      <c r="H12" s="199">
        <f>I12</f>
        <v>30</v>
      </c>
      <c r="I12" s="104">
        <f>Uitgangspunten!D33</f>
        <v>30</v>
      </c>
      <c r="J12" s="153">
        <f>K12</f>
        <v>12</v>
      </c>
      <c r="K12" s="3">
        <f>Uitgangspunten!E7</f>
        <v>12</v>
      </c>
      <c r="L12" s="34"/>
      <c r="M12" s="183">
        <f t="shared" si="1"/>
        <v>360</v>
      </c>
      <c r="N12" s="45"/>
      <c r="O12" s="251"/>
    </row>
    <row r="13" spans="1:28">
      <c r="B13" s="44" t="s">
        <v>142</v>
      </c>
      <c r="C13" s="273" t="s">
        <v>124</v>
      </c>
      <c r="D13" s="273"/>
      <c r="E13" s="273"/>
      <c r="F13" s="273"/>
      <c r="G13" s="273"/>
      <c r="H13" s="199">
        <f t="shared" si="0"/>
        <v>1500</v>
      </c>
      <c r="I13" s="104">
        <f>IF($C$13="ja",Uitgangspunten!D3,0)</f>
        <v>1500</v>
      </c>
      <c r="J13" s="153">
        <f t="shared" si="2"/>
        <v>1</v>
      </c>
      <c r="K13" s="3">
        <f>IF(C13="ja",Uitgangspunten!E3,0)</f>
        <v>1</v>
      </c>
      <c r="L13" s="34"/>
      <c r="M13" s="183">
        <f t="shared" si="1"/>
        <v>1500</v>
      </c>
      <c r="N13" s="45"/>
      <c r="O13" s="251"/>
      <c r="R13" s="74"/>
      <c r="S13" s="74"/>
      <c r="T13" s="74"/>
      <c r="U13" s="74"/>
      <c r="V13" s="74"/>
      <c r="W13" s="74"/>
      <c r="X13" s="74"/>
      <c r="Y13" s="74"/>
      <c r="Z13" s="74"/>
      <c r="AA13" s="74"/>
      <c r="AB13" s="74"/>
    </row>
    <row r="14" spans="1:28">
      <c r="B14" s="44" t="s">
        <v>143</v>
      </c>
      <c r="C14" s="273" t="s">
        <v>124</v>
      </c>
      <c r="D14" s="273"/>
      <c r="E14" s="273"/>
      <c r="F14" s="273"/>
      <c r="G14" s="273"/>
      <c r="H14" s="199">
        <f t="shared" si="0"/>
        <v>30</v>
      </c>
      <c r="I14" s="104">
        <f>C8</f>
        <v>30</v>
      </c>
      <c r="J14" s="153">
        <f t="shared" si="2"/>
        <v>4</v>
      </c>
      <c r="K14" s="3">
        <f>IF(C14="ja",Uitgangspunten!E4,0)</f>
        <v>4</v>
      </c>
      <c r="L14" s="34"/>
      <c r="M14" s="183">
        <f t="shared" si="1"/>
        <v>120</v>
      </c>
      <c r="N14" s="45"/>
      <c r="O14" s="251"/>
    </row>
    <row r="15" spans="1:28">
      <c r="B15" s="44" t="s">
        <v>144</v>
      </c>
      <c r="C15" s="273" t="s">
        <v>145</v>
      </c>
      <c r="D15" s="273"/>
      <c r="E15" s="273"/>
      <c r="F15" s="273"/>
      <c r="G15" s="273"/>
      <c r="H15" s="199">
        <f t="shared" si="0"/>
        <v>30</v>
      </c>
      <c r="I15" s="104">
        <f>VLOOKUP(C15,Uitgangspunten!$A$33:$D$38,COLUMN(Uitgangspunten!$D$32),FALSE)</f>
        <v>30</v>
      </c>
      <c r="J15" s="153">
        <f t="shared" si="2"/>
        <v>6</v>
      </c>
      <c r="K15" s="3">
        <f>Uitgangspunten!E8</f>
        <v>6</v>
      </c>
      <c r="L15" s="34"/>
      <c r="M15" s="183">
        <f t="shared" si="1"/>
        <v>180</v>
      </c>
      <c r="N15" s="45"/>
      <c r="O15" s="251"/>
    </row>
    <row r="16" spans="1:28">
      <c r="B16" s="44" t="s">
        <v>146</v>
      </c>
      <c r="C16" s="273" t="s">
        <v>145</v>
      </c>
      <c r="D16" s="273"/>
      <c r="E16" s="273"/>
      <c r="F16" s="273"/>
      <c r="G16" s="273"/>
      <c r="H16" s="199">
        <f t="shared" si="0"/>
        <v>30</v>
      </c>
      <c r="I16" s="104">
        <f>VLOOKUP(C16,Uitgangspunten!$A$33:$D$38,COLUMN(Uitgangspunten!$D$32),FALSE)</f>
        <v>30</v>
      </c>
      <c r="J16" s="153">
        <f t="shared" si="2"/>
        <v>8</v>
      </c>
      <c r="K16" s="3">
        <f>Uitgangspunten!E9</f>
        <v>8</v>
      </c>
      <c r="L16" s="34"/>
      <c r="M16" s="183">
        <f t="shared" si="1"/>
        <v>240</v>
      </c>
      <c r="N16" s="45"/>
      <c r="O16" s="251"/>
    </row>
    <row r="17" spans="2:15">
      <c r="B17" s="44"/>
      <c r="C17" s="34"/>
      <c r="H17" s="50"/>
      <c r="I17" s="50"/>
      <c r="J17" s="34"/>
      <c r="K17" s="34"/>
      <c r="L17" s="34"/>
      <c r="M17" s="93"/>
      <c r="N17" s="45"/>
      <c r="O17" s="251"/>
    </row>
    <row r="18" spans="2:15" ht="33">
      <c r="B18" s="46" t="s">
        <v>147</v>
      </c>
      <c r="C18" s="279" t="s">
        <v>136</v>
      </c>
      <c r="D18" s="279"/>
      <c r="E18" s="279"/>
      <c r="F18" s="279"/>
      <c r="G18" s="137"/>
      <c r="H18" s="63" t="s">
        <v>148</v>
      </c>
      <c r="I18" s="147"/>
      <c r="J18" s="63" t="s">
        <v>149</v>
      </c>
      <c r="K18" s="63"/>
      <c r="L18" s="34"/>
      <c r="M18" s="93"/>
      <c r="N18" s="45"/>
      <c r="O18" s="251"/>
    </row>
    <row r="19" spans="2:15">
      <c r="B19" s="53" t="s">
        <v>150</v>
      </c>
      <c r="C19" s="287" t="s">
        <v>151</v>
      </c>
      <c r="D19" s="287"/>
      <c r="E19" s="287"/>
      <c r="F19" s="287"/>
      <c r="G19" s="173" t="s">
        <v>152</v>
      </c>
      <c r="H19" s="154">
        <f t="shared" ref="H19:H24" si="3">I19</f>
        <v>1.5</v>
      </c>
      <c r="I19" s="104">
        <f>IF(C6="biologisch",Uitgangspunten!D13,Uitgangspunten!D14)</f>
        <v>1.5</v>
      </c>
      <c r="J19" s="153">
        <f t="shared" ref="J19:J24" si="4">K19</f>
        <v>2000</v>
      </c>
      <c r="K19" s="3" cm="1">
        <f t="array" ref="K19">SUMPRODUCT(C3:C5/100,D3:D5)</f>
        <v>2000</v>
      </c>
      <c r="L19" s="34"/>
      <c r="M19" s="183">
        <f t="shared" ref="M19:M26" si="5">J19*H19</f>
        <v>3000</v>
      </c>
      <c r="N19" s="45"/>
      <c r="O19" s="251"/>
    </row>
    <row r="20" spans="2:15">
      <c r="B20" s="53" t="s">
        <v>153</v>
      </c>
      <c r="C20" s="273" t="s">
        <v>154</v>
      </c>
      <c r="D20" s="273"/>
      <c r="E20" s="273"/>
      <c r="F20" s="273"/>
      <c r="G20" s="174" t="s">
        <v>152</v>
      </c>
      <c r="H20" s="154">
        <f t="shared" si="3"/>
        <v>0</v>
      </c>
      <c r="I20" s="104">
        <f>IF(C20="ja",Uitgangspunten!D17,0)</f>
        <v>0</v>
      </c>
      <c r="J20" s="153">
        <f t="shared" si="4"/>
        <v>0</v>
      </c>
      <c r="K20" s="3">
        <f>IF(C20="ja",J19* Uitgangspunten!G17/10,0)</f>
        <v>0</v>
      </c>
      <c r="L20" s="34"/>
      <c r="M20" s="183">
        <f t="shared" si="5"/>
        <v>0</v>
      </c>
      <c r="N20" s="45"/>
      <c r="O20" s="251"/>
    </row>
    <row r="21" spans="2:15">
      <c r="B21" s="53" t="s">
        <v>155</v>
      </c>
      <c r="C21" s="287" t="s">
        <v>151</v>
      </c>
      <c r="D21" s="287"/>
      <c r="E21" s="287"/>
      <c r="F21" s="287"/>
      <c r="G21" s="173" t="s">
        <v>152</v>
      </c>
      <c r="H21" s="154">
        <f t="shared" si="3"/>
        <v>3.2</v>
      </c>
      <c r="I21" s="104">
        <f>Uitgangspunten!D16</f>
        <v>3.2</v>
      </c>
      <c r="J21" s="153">
        <f t="shared" si="4"/>
        <v>200</v>
      </c>
      <c r="K21" s="3">
        <f>J19*Uitgangspunten!G16/10</f>
        <v>200</v>
      </c>
      <c r="L21" s="34"/>
      <c r="M21" s="183">
        <f t="shared" si="5"/>
        <v>640</v>
      </c>
      <c r="N21" s="45"/>
      <c r="O21" s="251"/>
    </row>
    <row r="22" spans="2:15">
      <c r="B22" s="53" t="s">
        <v>156</v>
      </c>
      <c r="C22" s="287" t="s">
        <v>151</v>
      </c>
      <c r="D22" s="287"/>
      <c r="E22" s="287"/>
      <c r="F22" s="287"/>
      <c r="G22" s="173" t="s">
        <v>157</v>
      </c>
      <c r="H22" s="154">
        <f t="shared" si="3"/>
        <v>0.1</v>
      </c>
      <c r="I22" s="104">
        <f>Uitgangspunten!D15</f>
        <v>0.1</v>
      </c>
      <c r="J22" s="153">
        <f t="shared" si="4"/>
        <v>3000</v>
      </c>
      <c r="K22" s="3">
        <f>J19*Uitgangspunten!G15/10</f>
        <v>3000</v>
      </c>
      <c r="L22" s="34"/>
      <c r="M22" s="183">
        <f t="shared" si="5"/>
        <v>300</v>
      </c>
      <c r="N22" s="45"/>
      <c r="O22" s="251"/>
    </row>
    <row r="23" spans="2:15">
      <c r="B23" s="53" t="s">
        <v>158</v>
      </c>
      <c r="C23" s="273" t="s">
        <v>124</v>
      </c>
      <c r="D23" s="273"/>
      <c r="E23" s="273"/>
      <c r="F23" s="273"/>
      <c r="G23" s="174" t="s">
        <v>152</v>
      </c>
      <c r="H23" s="199">
        <f t="shared" si="3"/>
        <v>255</v>
      </c>
      <c r="I23" s="104">
        <f>IF(C23="ja",Uitgangspunten!D18,0)</f>
        <v>255</v>
      </c>
      <c r="J23" s="153">
        <f t="shared" si="4"/>
        <v>3</v>
      </c>
      <c r="K23" s="3">
        <f>IF(C23="ja", ROUNDUP(SUM($C$3:$C$5)/100*Uitgangspunten!E18,0),0)</f>
        <v>3</v>
      </c>
      <c r="L23" s="34"/>
      <c r="M23" s="183">
        <f t="shared" si="5"/>
        <v>765</v>
      </c>
      <c r="N23" s="45"/>
      <c r="O23" s="251"/>
    </row>
    <row r="24" spans="2:15">
      <c r="B24" s="53" t="s">
        <v>159</v>
      </c>
      <c r="C24" s="273" t="s">
        <v>124</v>
      </c>
      <c r="D24" s="273"/>
      <c r="E24" s="273"/>
      <c r="F24" s="273"/>
      <c r="G24" s="174" t="s">
        <v>160</v>
      </c>
      <c r="H24" s="199">
        <f t="shared" si="3"/>
        <v>30</v>
      </c>
      <c r="I24" s="104">
        <f>IF(C24="ja",Uitgangspunten!D19,0)</f>
        <v>30</v>
      </c>
      <c r="J24" s="153">
        <f t="shared" si="4"/>
        <v>4.5</v>
      </c>
      <c r="K24" s="3">
        <f>IF(C24="ja", SUM($D$3:$D$5)/100*Uitgangspunten!E19,0)</f>
        <v>4.5</v>
      </c>
      <c r="L24" s="34"/>
      <c r="M24" s="183">
        <f t="shared" si="5"/>
        <v>135</v>
      </c>
      <c r="N24" s="45"/>
      <c r="O24" s="251"/>
    </row>
    <row r="25" spans="2:15">
      <c r="B25" s="53" t="s">
        <v>161</v>
      </c>
      <c r="C25" s="273"/>
      <c r="D25" s="273"/>
      <c r="E25" s="273"/>
      <c r="F25" s="273"/>
      <c r="G25" s="151"/>
      <c r="H25" s="155"/>
      <c r="I25" s="238"/>
      <c r="J25" s="150"/>
      <c r="K25" s="34"/>
      <c r="L25" s="34"/>
      <c r="M25" s="183">
        <f t="shared" si="5"/>
        <v>0</v>
      </c>
      <c r="N25" s="45"/>
      <c r="O25" s="251"/>
    </row>
    <row r="26" spans="2:15">
      <c r="B26" s="53" t="s">
        <v>162</v>
      </c>
      <c r="C26" s="273"/>
      <c r="D26" s="273"/>
      <c r="E26" s="273"/>
      <c r="F26" s="273"/>
      <c r="G26" s="151"/>
      <c r="H26" s="155"/>
      <c r="I26" s="238"/>
      <c r="J26" s="150"/>
      <c r="K26" s="34"/>
      <c r="L26" s="34"/>
      <c r="M26" s="183">
        <f t="shared" si="5"/>
        <v>0</v>
      </c>
      <c r="N26" s="45"/>
      <c r="O26" s="251"/>
    </row>
    <row r="27" spans="2:15">
      <c r="B27" s="46"/>
      <c r="C27" s="34"/>
      <c r="D27" s="50"/>
      <c r="E27" s="34"/>
      <c r="F27" s="34"/>
      <c r="G27" s="34"/>
      <c r="H27" s="34"/>
      <c r="I27" s="50"/>
      <c r="J27" s="34"/>
      <c r="K27" s="34"/>
      <c r="L27" s="34"/>
      <c r="M27" s="183"/>
      <c r="N27" s="45"/>
      <c r="O27" s="251"/>
    </row>
    <row r="28" spans="2:15">
      <c r="B28" s="46" t="s">
        <v>163</v>
      </c>
      <c r="C28" s="34"/>
      <c r="D28" s="34"/>
      <c r="E28" s="34"/>
      <c r="F28" s="34"/>
      <c r="G28" s="34"/>
      <c r="H28" s="34"/>
      <c r="I28" s="50"/>
      <c r="J28" s="34"/>
      <c r="K28" s="34"/>
      <c r="L28" s="34"/>
      <c r="M28" s="183"/>
      <c r="N28" s="45"/>
      <c r="O28" s="251"/>
    </row>
    <row r="29" spans="2:15" ht="16.5" customHeight="1">
      <c r="B29" s="51" t="s">
        <v>164</v>
      </c>
      <c r="C29" s="48" t="s">
        <v>165</v>
      </c>
      <c r="D29" s="272" t="s">
        <v>166</v>
      </c>
      <c r="E29" s="272"/>
      <c r="F29" s="272"/>
      <c r="G29" s="272"/>
      <c r="H29" s="48" t="s">
        <v>167</v>
      </c>
      <c r="I29" s="148"/>
      <c r="J29" s="48" t="s">
        <v>168</v>
      </c>
      <c r="K29" s="48"/>
      <c r="M29" s="187" t="s">
        <v>76</v>
      </c>
      <c r="N29" s="52"/>
      <c r="O29" s="253"/>
    </row>
    <row r="30" spans="2:15">
      <c r="B30" s="59" t="s">
        <v>169</v>
      </c>
      <c r="C30" s="150" t="s">
        <v>124</v>
      </c>
      <c r="D30" s="273" t="s">
        <v>145</v>
      </c>
      <c r="E30" s="273"/>
      <c r="F30" s="273"/>
      <c r="G30" s="273"/>
      <c r="H30" s="199">
        <f>I30</f>
        <v>30</v>
      </c>
      <c r="I30" s="156">
        <f>VLOOKUP(D30,Uitgangspunten!$A$33:$D$38,COLUMN(Uitgangspunten!$D$32),FALSE)</f>
        <v>30</v>
      </c>
      <c r="J30" s="153">
        <f>K30</f>
        <v>5</v>
      </c>
      <c r="K30" s="3">
        <f>IF($C30="ja",Uitgangspunten!C24*$C$3/100+Uitgangspunten!D24*$C$4/100+AVERAGE(Uitgangspunten!C24:D24)*$C$5/100,0)</f>
        <v>5</v>
      </c>
      <c r="M30" s="183">
        <f>H30*J30</f>
        <v>150</v>
      </c>
      <c r="N30" s="45"/>
      <c r="O30" s="251"/>
    </row>
    <row r="31" spans="2:15">
      <c r="B31" s="59" t="s">
        <v>170</v>
      </c>
      <c r="C31" s="150" t="s">
        <v>124</v>
      </c>
      <c r="D31" s="273" t="s">
        <v>171</v>
      </c>
      <c r="E31" s="273"/>
      <c r="F31" s="273"/>
      <c r="G31" s="273"/>
      <c r="H31" s="199">
        <f>I31</f>
        <v>70</v>
      </c>
      <c r="I31" s="156">
        <f>VLOOKUP(D31,Uitgangspunten!$A$33:$D$38,COLUMN(Uitgangspunten!$D$32),FALSE)</f>
        <v>70</v>
      </c>
      <c r="J31" s="153">
        <f>K31</f>
        <v>20</v>
      </c>
      <c r="K31" s="3">
        <f>IF($C31="ja",Uitgangspunten!C25*$C$3/100+Uitgangspunten!D25*$C$4/100+AVERAGE(Uitgangspunten!C25:D25)*$C$5/100,0)</f>
        <v>20</v>
      </c>
      <c r="M31" s="183">
        <f>H31*J31</f>
        <v>1400</v>
      </c>
      <c r="N31" s="45"/>
      <c r="O31" s="251"/>
    </row>
    <row r="32" spans="2:15">
      <c r="B32" s="59" t="s">
        <v>172</v>
      </c>
      <c r="C32" s="150" t="s">
        <v>124</v>
      </c>
      <c r="D32" s="273" t="s">
        <v>145</v>
      </c>
      <c r="E32" s="273"/>
      <c r="F32" s="273"/>
      <c r="G32" s="273"/>
      <c r="H32" s="199">
        <f>I32</f>
        <v>30</v>
      </c>
      <c r="I32" s="156">
        <f>VLOOKUP(D32,Uitgangspunten!$A$33:$D$38,COLUMN(Uitgangspunten!$D$32),FALSE)</f>
        <v>30</v>
      </c>
      <c r="J32" s="153">
        <f>K32</f>
        <v>20</v>
      </c>
      <c r="K32" s="3">
        <f>IF($C32="ja",Uitgangspunten!C26*$C$3/100+Uitgangspunten!D26*$C$4/100+AVERAGE(Uitgangspunten!C26:D26)*$C$5/100,0)</f>
        <v>20</v>
      </c>
      <c r="M32" s="183">
        <f>H32*J32</f>
        <v>600</v>
      </c>
      <c r="N32" s="45"/>
      <c r="O32" s="251"/>
    </row>
    <row r="33" spans="2:16">
      <c r="B33" s="59" t="s">
        <v>173</v>
      </c>
      <c r="C33" s="150"/>
      <c r="D33" s="273"/>
      <c r="E33" s="273"/>
      <c r="F33" s="273"/>
      <c r="G33" s="273"/>
      <c r="H33" s="155"/>
      <c r="I33" s="50"/>
      <c r="J33" s="150"/>
      <c r="K33" s="34"/>
      <c r="M33" s="183">
        <f>H33*J33</f>
        <v>0</v>
      </c>
      <c r="N33" s="45"/>
      <c r="O33" s="251"/>
    </row>
    <row r="34" spans="2:16" ht="33">
      <c r="B34" s="51" t="s">
        <v>174</v>
      </c>
      <c r="C34" s="48" t="s">
        <v>136</v>
      </c>
      <c r="D34" s="272" t="str">
        <f>IF(OR(C35=Uitgangspunten!K27,C35=Uitgangspunten!K28),"bron vrijwilligers","type arbeider")</f>
        <v>type arbeider</v>
      </c>
      <c r="E34" s="272"/>
      <c r="F34" s="272"/>
      <c r="G34" s="48"/>
      <c r="H34" s="48" t="s">
        <v>148</v>
      </c>
      <c r="I34" s="148"/>
      <c r="J34" s="48" t="s">
        <v>149</v>
      </c>
      <c r="K34" s="48"/>
      <c r="M34" s="187" t="s">
        <v>76</v>
      </c>
      <c r="N34" s="52"/>
      <c r="O34" s="253"/>
    </row>
    <row r="35" spans="2:16">
      <c r="B35" s="59" t="s">
        <v>175</v>
      </c>
      <c r="C35" s="270" t="s">
        <v>176</v>
      </c>
      <c r="D35" s="278" t="s">
        <v>177</v>
      </c>
      <c r="E35" s="278"/>
      <c r="F35" s="278"/>
      <c r="G35" s="175" t="s">
        <v>178</v>
      </c>
      <c r="H35" s="199">
        <f>I35</f>
        <v>480</v>
      </c>
      <c r="I35" s="104">
        <f>IF(ISNUMBER(SEARCH(VLOOKUP(D35,Uitgangspunten!A33:K38,COLUMN(Uitgangspunten!K32),FALSE),C35,1)),(VLOOKUP(D35,Uitgangspunten!A33:J38,COLUMN(Uitgangspunten!G32),FALSE)+VLOOKUP(D35,Uitgangspunten!A33:J38,COLUMN(Uitgangspunten!E32),FALSE)+(VLOOKUP(C35,Uitgangspunten!A27:J29,COLUMN(Uitgangspunten!I22),FALSE)*VLOOKUP(D35,Uitgangspunten!A33:J38,COLUMN(Uitgangspunten!J32),FALSE)))*VLOOKUP(D35,Uitgangspunten!A33:J38,COLUMN(Uitgangspunten!D32),FALSE),"kies bron")</f>
        <v>480</v>
      </c>
      <c r="J35" s="157">
        <f>K35</f>
        <v>5</v>
      </c>
      <c r="K35" s="144">
        <f>ROUNDUP(((D3*C3/100)/VLOOKUP(C35,Uitgangspunten!$A$27:$G$29,COLUMN(Uitgangspunten!$G$23),FALSE)+(D4*C4/100)/VLOOKUP(C35,Uitgangspunten!A27:G29,COLUMN(Uitgangspunten!$G$23),FALSE)+(D5*C5/100)/VLOOKUP(C35,Uitgangspunten!A27:G29,COLUMN(Uitgangspunten!G23),FALSE)),0)</f>
        <v>5</v>
      </c>
      <c r="M35" s="183">
        <f>H35*J35</f>
        <v>2400</v>
      </c>
      <c r="N35" s="45"/>
      <c r="O35" s="251"/>
      <c r="P35" s="138"/>
    </row>
    <row r="36" spans="2:16">
      <c r="B36" s="59"/>
      <c r="C36" s="270"/>
      <c r="D36" s="278"/>
      <c r="E36" s="278"/>
      <c r="F36" s="278"/>
      <c r="G36" s="175" t="s">
        <v>179</v>
      </c>
      <c r="H36" s="199">
        <f>I36</f>
        <v>240</v>
      </c>
      <c r="I36" s="104">
        <f>VLOOKUP(D35,Uitgangspunten!$A$33:$I$38,COLUMN(Uitgangspunten!F32),FALSE)*VLOOKUP(D35,Uitgangspunten!$A$33:$I$38,COLUMN(Uitgangspunten!$D$32),FALSE)</f>
        <v>240</v>
      </c>
      <c r="J36" s="57">
        <v>1</v>
      </c>
      <c r="K36" s="144">
        <v>1</v>
      </c>
      <c r="M36" s="183">
        <f>H36*J36</f>
        <v>240</v>
      </c>
      <c r="N36" s="45"/>
      <c r="O36" s="251"/>
    </row>
    <row r="37" spans="2:16">
      <c r="B37" s="58" t="s">
        <v>180</v>
      </c>
      <c r="C37" s="150" t="s">
        <v>181</v>
      </c>
      <c r="D37" s="275" t="s">
        <v>151</v>
      </c>
      <c r="E37" s="275"/>
      <c r="F37" s="275"/>
      <c r="G37" s="173" t="s">
        <v>182</v>
      </c>
      <c r="H37" s="199">
        <f>I37</f>
        <v>15</v>
      </c>
      <c r="I37" s="104">
        <f>VLOOKUP(C37,Uitgangspunten!A41:D42,COLUMN(Uitgangspunten!$D$40),FALSE)</f>
        <v>15</v>
      </c>
      <c r="J37" s="157">
        <f>K37</f>
        <v>75</v>
      </c>
      <c r="K37" s="144">
        <f>IF(H37&gt;0,VLOOKUP(C35,Uitgangspunten!A27:H28,COLUMN(Uitgangspunten!$H$23),FALSE)*K35,0)</f>
        <v>75</v>
      </c>
      <c r="M37" s="183">
        <f>J37*H37</f>
        <v>1125</v>
      </c>
      <c r="N37" s="45"/>
      <c r="O37" s="251"/>
    </row>
    <row r="38" spans="2:16">
      <c r="B38" s="44"/>
      <c r="M38" s="195"/>
      <c r="N38" s="45"/>
      <c r="O38" s="251"/>
    </row>
    <row r="39" spans="2:16" ht="18" customHeight="1">
      <c r="B39" s="44"/>
      <c r="C39" s="48" t="s">
        <v>183</v>
      </c>
      <c r="D39" s="272" t="s">
        <v>184</v>
      </c>
      <c r="E39" s="272"/>
      <c r="F39" s="272"/>
      <c r="G39" s="272"/>
      <c r="H39" s="48" t="s">
        <v>185</v>
      </c>
      <c r="M39" s="187" t="s">
        <v>76</v>
      </c>
      <c r="N39" s="45"/>
      <c r="O39" s="251"/>
    </row>
    <row r="40" spans="2:16">
      <c r="B40" s="46" t="s">
        <v>186</v>
      </c>
      <c r="C40" s="150" t="s">
        <v>124</v>
      </c>
      <c r="D40" s="274">
        <v>0.15</v>
      </c>
      <c r="E40" s="274"/>
      <c r="F40" s="274"/>
      <c r="G40" s="274"/>
      <c r="H40" s="178">
        <f>D40*M19</f>
        <v>450</v>
      </c>
      <c r="I40" s="99">
        <f>D40*K19</f>
        <v>300</v>
      </c>
      <c r="M40" s="195">
        <f>H40</f>
        <v>450</v>
      </c>
      <c r="N40" s="45"/>
      <c r="O40" s="251"/>
    </row>
    <row r="41" spans="2:16">
      <c r="B41" s="53"/>
      <c r="M41" s="195"/>
      <c r="N41" s="45"/>
      <c r="O41" s="251"/>
    </row>
    <row r="42" spans="2:16">
      <c r="B42" s="54"/>
      <c r="C42" s="37"/>
      <c r="D42" s="37"/>
      <c r="E42" s="37"/>
      <c r="F42" s="37"/>
      <c r="G42" s="37"/>
      <c r="H42" s="37"/>
      <c r="I42" s="146"/>
      <c r="J42" s="37"/>
      <c r="K42" s="37"/>
      <c r="L42" s="37"/>
      <c r="M42" s="200"/>
      <c r="N42" s="38"/>
      <c r="O42" s="251"/>
    </row>
    <row r="43" spans="2:16" ht="17.100000000000001" thickBot="1">
      <c r="B43" s="55" t="s">
        <v>187</v>
      </c>
      <c r="C43" s="40"/>
      <c r="D43" s="40"/>
      <c r="E43" s="40"/>
      <c r="F43" s="40"/>
      <c r="G43" s="40"/>
      <c r="H43" s="40"/>
      <c r="I43" s="149"/>
      <c r="J43" s="40"/>
      <c r="K43" s="40"/>
      <c r="L43" s="40"/>
      <c r="M43" s="201">
        <f>SUM(M9:M40)</f>
        <v>14855</v>
      </c>
      <c r="N43" s="41"/>
      <c r="O43" s="254"/>
    </row>
    <row r="44" spans="2:16" ht="17.100000000000001" thickBot="1">
      <c r="B44" s="55" t="s">
        <v>188</v>
      </c>
      <c r="C44" s="40"/>
      <c r="D44" s="40"/>
      <c r="E44" s="40"/>
      <c r="F44" s="40"/>
      <c r="G44" s="40"/>
      <c r="H44" s="40"/>
      <c r="I44" s="149"/>
      <c r="J44" s="40"/>
      <c r="K44" s="40"/>
      <c r="L44" s="40"/>
      <c r="M44" s="201">
        <f>M43/SUM(C3:C5)*100</f>
        <v>2971</v>
      </c>
      <c r="N44" s="41"/>
      <c r="O44" s="254"/>
    </row>
    <row r="45" spans="2:16" ht="17.100000000000001" thickBot="1">
      <c r="O45" s="251"/>
    </row>
    <row r="46" spans="2:16">
      <c r="B46" s="267" t="s">
        <v>189</v>
      </c>
      <c r="C46" s="268"/>
      <c r="D46" s="268"/>
      <c r="E46" s="268"/>
      <c r="F46" s="268"/>
      <c r="G46" s="268"/>
      <c r="H46" s="268"/>
      <c r="I46" s="268"/>
      <c r="J46" s="268"/>
      <c r="K46" s="268"/>
      <c r="L46" s="268"/>
      <c r="M46" s="268"/>
      <c r="N46" s="269"/>
      <c r="O46" s="255"/>
    </row>
    <row r="47" spans="2:16" s="74" customFormat="1" ht="33">
      <c r="B47" s="51" t="s">
        <v>190</v>
      </c>
      <c r="C47" s="272" t="s">
        <v>183</v>
      </c>
      <c r="D47" s="272"/>
      <c r="E47" s="272"/>
      <c r="F47" s="272"/>
      <c r="G47" s="272"/>
      <c r="H47" s="272"/>
      <c r="I47" s="272"/>
      <c r="J47" s="48" t="s">
        <v>191</v>
      </c>
      <c r="K47" s="116"/>
      <c r="M47" s="203" t="s">
        <v>192</v>
      </c>
      <c r="N47" s="52"/>
      <c r="O47" s="253"/>
    </row>
    <row r="48" spans="2:16">
      <c r="B48" s="44" t="s">
        <v>193</v>
      </c>
      <c r="C48" s="273" t="s">
        <v>124</v>
      </c>
      <c r="D48" s="273"/>
      <c r="E48" s="273"/>
      <c r="F48" s="273"/>
      <c r="G48" s="273"/>
      <c r="H48" s="273"/>
      <c r="I48" s="273"/>
      <c r="J48" s="178">
        <f>K48</f>
        <v>21.660000000000004</v>
      </c>
      <c r="K48" s="99">
        <f>IF(C48="ja",AVERAGE(Uitgangspunten!F46:O46),0)</f>
        <v>21.660000000000004</v>
      </c>
      <c r="M48" s="195">
        <f>J48*SUM($C$3:$C$5)/100</f>
        <v>108.30000000000001</v>
      </c>
      <c r="N48" s="45"/>
      <c r="O48" s="251"/>
    </row>
    <row r="49" spans="2:20">
      <c r="B49" s="44" t="s">
        <v>194</v>
      </c>
      <c r="C49" s="273" t="s">
        <v>154</v>
      </c>
      <c r="D49" s="273"/>
      <c r="E49" s="273"/>
      <c r="F49" s="273"/>
      <c r="G49" s="273"/>
      <c r="H49" s="273"/>
      <c r="I49" s="273"/>
      <c r="J49" s="178">
        <f>K49</f>
        <v>0</v>
      </c>
      <c r="K49" s="99">
        <f>IF(C49="ja",IF(C6=Uitgangspunten!K3,AVERAGE(Uitgangspunten!F47:O47),AVERAGE(Uitgangspunten!F48:O48)),0)</f>
        <v>0</v>
      </c>
      <c r="M49" s="195">
        <f>J49*SUM($C$3:$C$5)/100</f>
        <v>0</v>
      </c>
      <c r="N49" s="45"/>
      <c r="O49" s="251"/>
    </row>
    <row r="50" spans="2:20">
      <c r="B50" s="44" t="s">
        <v>195</v>
      </c>
      <c r="C50" s="273"/>
      <c r="D50" s="273"/>
      <c r="E50" s="273"/>
      <c r="F50" s="273"/>
      <c r="G50" s="273"/>
      <c r="H50" s="273"/>
      <c r="I50" s="273"/>
      <c r="J50" s="158"/>
      <c r="M50" s="195">
        <f>J50*SUM($C$3:$C$5)/100</f>
        <v>0</v>
      </c>
      <c r="N50" s="45"/>
      <c r="O50" s="251"/>
    </row>
    <row r="51" spans="2:20">
      <c r="B51" s="44" t="s">
        <v>196</v>
      </c>
      <c r="C51" s="273" t="s">
        <v>124</v>
      </c>
      <c r="D51" s="273"/>
      <c r="E51" s="273"/>
      <c r="F51" s="273"/>
      <c r="G51" s="273"/>
      <c r="H51" s="273"/>
      <c r="I51" s="273"/>
      <c r="J51" s="159">
        <f>K51</f>
        <v>0.1</v>
      </c>
      <c r="K51" s="176">
        <v>0.1</v>
      </c>
      <c r="M51" s="195">
        <f>SUM(M48:M50)*J51</f>
        <v>10.830000000000002</v>
      </c>
      <c r="N51" s="45"/>
      <c r="O51" s="251"/>
    </row>
    <row r="52" spans="2:20">
      <c r="B52" s="44"/>
      <c r="C52" s="34"/>
      <c r="D52" s="42"/>
      <c r="E52" s="42"/>
      <c r="F52" s="42"/>
      <c r="G52" s="42"/>
      <c r="H52" s="42"/>
      <c r="M52" s="90"/>
      <c r="N52" s="45"/>
      <c r="O52" s="251"/>
    </row>
    <row r="53" spans="2:20" ht="33">
      <c r="B53" s="51" t="s">
        <v>197</v>
      </c>
      <c r="C53" s="48" t="s">
        <v>136</v>
      </c>
      <c r="D53" s="48" t="s">
        <v>198</v>
      </c>
      <c r="E53" s="272" t="s">
        <v>199</v>
      </c>
      <c r="F53" s="272"/>
      <c r="G53" s="48"/>
      <c r="H53" s="48" t="s">
        <v>148</v>
      </c>
      <c r="J53" s="48" t="s">
        <v>200</v>
      </c>
      <c r="M53" s="89" t="s">
        <v>192</v>
      </c>
      <c r="N53" s="52"/>
      <c r="O53" s="253"/>
    </row>
    <row r="54" spans="2:20">
      <c r="B54" s="44" t="s">
        <v>201</v>
      </c>
      <c r="C54" s="172" t="s">
        <v>151</v>
      </c>
      <c r="D54" s="150" t="s">
        <v>145</v>
      </c>
      <c r="E54" s="275" t="s">
        <v>151</v>
      </c>
      <c r="F54" s="275"/>
      <c r="G54" s="173" t="s">
        <v>202</v>
      </c>
      <c r="H54" s="199">
        <f>I54</f>
        <v>30</v>
      </c>
      <c r="I54" s="99">
        <f>VLOOKUP(D54,Uitgangspunten!$A$33:$D$38,COLUMN(Uitgangspunten!$D$32),FALSE)</f>
        <v>30</v>
      </c>
      <c r="J54" s="153">
        <f>K54</f>
        <v>12</v>
      </c>
      <c r="K54" s="3" cm="1">
        <f t="array" ref="K54">ROUNDUP(AVERAGE(Uitgangspunten!F49:O49)*SUM(C3:C5/100),0)</f>
        <v>12</v>
      </c>
      <c r="M54" s="195">
        <f>H54*J54</f>
        <v>360</v>
      </c>
      <c r="N54" s="45"/>
      <c r="O54" s="251"/>
      <c r="T54" s="42"/>
    </row>
    <row r="55" spans="2:20">
      <c r="B55" s="271" t="s">
        <v>203</v>
      </c>
      <c r="C55" s="270" t="s">
        <v>204</v>
      </c>
      <c r="D55" s="270" t="s">
        <v>177</v>
      </c>
      <c r="E55" s="278">
        <v>1</v>
      </c>
      <c r="F55" s="278"/>
      <c r="G55" s="173" t="s">
        <v>205</v>
      </c>
      <c r="H55" s="199">
        <f>I55</f>
        <v>420</v>
      </c>
      <c r="I55" s="99">
        <f>J55*(VLOOKUP(D55,Uitgangspunten!A32:J38,COLUMN(Uitgangspunten!I32),FALSE)+VLOOKUP(D55,Uitgangspunten!A32:J38,COLUMN(Uitgangspunten!E32),FALSE)+VLOOKUP(C55,Uitgangspunten!A52:H54,COLUMN(Uitgangspunten!H51),FALSE)*VLOOKUP(D55,Uitgangspunten!A33:J38,COLUMN(Uitgangspunten!J32),FALSE))*VLOOKUP(D55,Uitgangspunten!A33:J38,COLUMN(Uitgangspunten!D32),FALSE)</f>
        <v>420</v>
      </c>
      <c r="J55" s="153">
        <f>K55</f>
        <v>1</v>
      </c>
      <c r="K55" s="3">
        <f>ROUNDUP(SUM(C3:C5)/100*(VLOOKUP(C55,Uitgangspunten!A52:E54,COLUMN(Uitgangspunten!E51),FALSE)/VLOOKUP(D55,Uitgangspunten!A36:I38,COLUMN(Uitgangspunten!E32),FALSE)),0)</f>
        <v>1</v>
      </c>
      <c r="M55" s="195">
        <f>J55*H55</f>
        <v>420</v>
      </c>
      <c r="N55" s="45"/>
      <c r="O55" s="251"/>
      <c r="T55" s="42"/>
    </row>
    <row r="56" spans="2:20">
      <c r="B56" s="271"/>
      <c r="C56" s="270"/>
      <c r="D56" s="270"/>
      <c r="E56" s="278"/>
      <c r="F56" s="278"/>
      <c r="G56" s="173" t="s">
        <v>179</v>
      </c>
      <c r="H56" s="199">
        <f>I56</f>
        <v>120</v>
      </c>
      <c r="I56" s="99">
        <f>VLOOKUP(D55,Uitgangspunten!A33:J38,COLUMN(Uitgangspunten!H32),FALSE)*VLOOKUP(D55,Uitgangspunten!A33:J38,COLUMN(Uitgangspunten!D32),FALSE)</f>
        <v>120</v>
      </c>
      <c r="J56" s="34">
        <f>K56</f>
        <v>1</v>
      </c>
      <c r="K56" s="3">
        <v>1</v>
      </c>
      <c r="M56" s="195">
        <f>J56*H56</f>
        <v>120</v>
      </c>
      <c r="N56" s="45"/>
      <c r="O56" s="251"/>
      <c r="T56" s="42"/>
    </row>
    <row r="57" spans="2:20">
      <c r="B57" s="44" t="s">
        <v>206</v>
      </c>
      <c r="C57" s="150" t="s">
        <v>181</v>
      </c>
      <c r="D57" s="172" t="s">
        <v>151</v>
      </c>
      <c r="E57" s="275" t="s">
        <v>151</v>
      </c>
      <c r="F57" s="275"/>
      <c r="G57" s="173" t="s">
        <v>182</v>
      </c>
      <c r="H57" s="199">
        <f>I57</f>
        <v>15</v>
      </c>
      <c r="I57" s="99">
        <f>VLOOKUP(C57,Uitgangspunten!A41:D42,COLUMN(Uitgangspunten!$D$40),FALSE)</f>
        <v>15</v>
      </c>
      <c r="J57" s="153">
        <f>K57</f>
        <v>15</v>
      </c>
      <c r="K57" s="3">
        <f>VLOOKUP(C55,Uitgangspunten!$A$52:$G$54,COLUMN(Uitgangspunten!$G$51),FALSE)*J55</f>
        <v>15</v>
      </c>
      <c r="M57" s="195">
        <f>J57*H57</f>
        <v>225</v>
      </c>
      <c r="N57" s="45"/>
      <c r="O57" s="251"/>
      <c r="T57" s="42"/>
    </row>
    <row r="58" spans="2:20">
      <c r="B58" s="44"/>
      <c r="M58" s="195"/>
      <c r="N58" s="45"/>
      <c r="O58" s="251"/>
      <c r="T58" s="42"/>
    </row>
    <row r="59" spans="2:20" ht="33">
      <c r="B59" s="46" t="s">
        <v>207</v>
      </c>
      <c r="C59" s="48" t="s">
        <v>136</v>
      </c>
      <c r="D59" s="279" t="s">
        <v>198</v>
      </c>
      <c r="E59" s="279"/>
      <c r="F59" s="137"/>
      <c r="G59" s="137"/>
      <c r="H59" s="48" t="s">
        <v>148</v>
      </c>
      <c r="J59" s="48" t="s">
        <v>208</v>
      </c>
      <c r="M59" s="89" t="s">
        <v>209</v>
      </c>
      <c r="N59" s="49" t="s">
        <v>210</v>
      </c>
      <c r="O59" s="256"/>
    </row>
    <row r="60" spans="2:20">
      <c r="B60" s="44" t="s">
        <v>211</v>
      </c>
      <c r="C60" s="150" t="s">
        <v>124</v>
      </c>
      <c r="D60" s="273" t="s">
        <v>171</v>
      </c>
      <c r="E60" s="273"/>
      <c r="F60" s="151"/>
      <c r="G60" s="173" t="s">
        <v>212</v>
      </c>
      <c r="H60" s="199">
        <f>I60</f>
        <v>100</v>
      </c>
      <c r="I60" s="99">
        <f>IF(C60="ja", Uitgangspunten!F55,0)</f>
        <v>100</v>
      </c>
      <c r="J60" s="153">
        <f>K60</f>
        <v>3</v>
      </c>
      <c r="K60" s="3">
        <f>IF(C60="ja",VLOOKUP(B60,Uitgangspunten!$A$55:$F$59,4,FALSE),0)</f>
        <v>3</v>
      </c>
      <c r="M60" s="195">
        <f>(H60*J60/10*SUM(C3:C5)/100)</f>
        <v>150</v>
      </c>
      <c r="N60" s="184">
        <f>M60*10</f>
        <v>1500</v>
      </c>
      <c r="O60" s="257"/>
    </row>
    <row r="61" spans="2:20">
      <c r="B61" s="44" t="s">
        <v>213</v>
      </c>
      <c r="C61" s="150" t="s">
        <v>124</v>
      </c>
      <c r="D61" s="273" t="s">
        <v>171</v>
      </c>
      <c r="E61" s="273"/>
      <c r="F61" s="151"/>
      <c r="G61" s="173" t="s">
        <v>214</v>
      </c>
      <c r="H61" s="199">
        <f>I61</f>
        <v>70</v>
      </c>
      <c r="I61" s="99">
        <f>VLOOKUP(D61,Uitgangspunten!$A$33:$D$38,COLUMN(Uitgangspunten!$D$32),FALSE)</f>
        <v>70</v>
      </c>
      <c r="J61" s="153">
        <f>K61</f>
        <v>5</v>
      </c>
      <c r="K61" s="3">
        <f>IF(C60="ja",VLOOKUP(B60,Uitgangspunten!$A$55:$F$59,5,FALSE),0)</f>
        <v>5</v>
      </c>
      <c r="M61" s="195">
        <f>(H61*J61*J60/10*SUM(C4:C6)/100)</f>
        <v>0</v>
      </c>
      <c r="N61" s="184">
        <f>M61*10</f>
        <v>0</v>
      </c>
      <c r="O61" s="257"/>
    </row>
    <row r="62" spans="2:20">
      <c r="B62" s="44"/>
      <c r="D62" s="34"/>
      <c r="E62" s="42"/>
      <c r="F62" s="42"/>
      <c r="G62" s="42"/>
      <c r="H62" s="34"/>
      <c r="J62" s="34"/>
      <c r="M62" s="90"/>
      <c r="N62" s="43"/>
      <c r="O62" s="258"/>
    </row>
    <row r="63" spans="2:20" ht="33">
      <c r="B63" s="46" t="s">
        <v>215</v>
      </c>
      <c r="C63" s="47" t="s">
        <v>136</v>
      </c>
      <c r="D63" s="48" t="s">
        <v>198</v>
      </c>
      <c r="E63" s="48" t="s">
        <v>216</v>
      </c>
      <c r="F63" s="48"/>
      <c r="G63" s="48"/>
      <c r="H63" s="48" t="s">
        <v>148</v>
      </c>
      <c r="I63" s="148"/>
      <c r="J63" s="48" t="s">
        <v>217</v>
      </c>
      <c r="M63" s="89" t="s">
        <v>209</v>
      </c>
      <c r="N63" s="49" t="s">
        <v>210</v>
      </c>
      <c r="O63" s="256"/>
    </row>
    <row r="64" spans="2:20">
      <c r="B64" s="271" t="s">
        <v>218</v>
      </c>
      <c r="C64" s="270" t="s">
        <v>219</v>
      </c>
      <c r="D64" s="270" t="s">
        <v>177</v>
      </c>
      <c r="E64" s="277">
        <f>F64</f>
        <v>1</v>
      </c>
      <c r="F64" s="276">
        <f>VLOOKUP($C64,Uitgangspunten!$A$55:$F$59,4,FALSE)</f>
        <v>1</v>
      </c>
      <c r="G64" s="173" t="s">
        <v>205</v>
      </c>
      <c r="H64" s="202">
        <f>I64</f>
        <v>420</v>
      </c>
      <c r="I64" s="99">
        <f>VLOOKUP(D64,Uitgangspunten!A33:J38,COLUMN(Uitgangspunten!D32),FALSE)*(VLOOKUP(D64,Uitgangspunten!A33:J38,COLUMN(Uitgangspunten!E32),FALSE)+VLOOKUP(D64,Uitgangspunten!A33:J38,COLUMN(Uitgangspunten!I32),FALSE)+VLOOKUP(C64,Uitgangspunten!A56:H58,COLUMN(Uitgangspunten!H51),FALSE)*VLOOKUP(D64,Uitgangspunten!A33:J38,COLUMN(Uitgangspunten!J32),FALSE))</f>
        <v>420</v>
      </c>
      <c r="J64" s="153">
        <f>K64</f>
        <v>4</v>
      </c>
      <c r="K64" s="3">
        <f>ROUNDUP(VLOOKUP(C64,Uitgangspunten!A56:E58,5,FALSE)/VLOOKUP(D64,Uitgangspunten!A33:I38,7)*SUM(C3:C5)/100,0)</f>
        <v>4</v>
      </c>
      <c r="M64" s="195">
        <f>IF(C7=Uitgangspunten!L3,0,(H64*E64*K64)/10)</f>
        <v>168</v>
      </c>
      <c r="N64" s="184">
        <f>M64*10</f>
        <v>1680</v>
      </c>
      <c r="O64" s="257"/>
    </row>
    <row r="65" spans="2:15">
      <c r="B65" s="271"/>
      <c r="C65" s="270"/>
      <c r="D65" s="270"/>
      <c r="E65" s="277"/>
      <c r="F65" s="276"/>
      <c r="G65" s="173" t="s">
        <v>179</v>
      </c>
      <c r="H65" s="202">
        <f>I65</f>
        <v>120</v>
      </c>
      <c r="I65" s="99">
        <f>VLOOKUP(D64,Uitgangspunten!A33:J38,COLUMN(Uitgangspunten!H32),FALSE)*VLOOKUP(D64,Uitgangspunten!A33:J38,COLUMN(Uitgangspunten!D32),FALSE)</f>
        <v>120</v>
      </c>
      <c r="J65" s="34">
        <f>K65</f>
        <v>1</v>
      </c>
      <c r="K65" s="3">
        <v>1</v>
      </c>
      <c r="M65" s="195">
        <f>J65*H65*E64/10</f>
        <v>12</v>
      </c>
      <c r="N65" s="184">
        <f>M65*10</f>
        <v>120</v>
      </c>
      <c r="O65" s="257"/>
    </row>
    <row r="66" spans="2:15">
      <c r="B66" s="44" t="s">
        <v>220</v>
      </c>
      <c r="C66" s="150" t="s">
        <v>181</v>
      </c>
      <c r="D66" s="172" t="s">
        <v>151</v>
      </c>
      <c r="E66" s="153">
        <f>F66</f>
        <v>1</v>
      </c>
      <c r="F66" s="3">
        <f>E64</f>
        <v>1</v>
      </c>
      <c r="G66" s="173" t="s">
        <v>182</v>
      </c>
      <c r="H66" s="202">
        <f>I66</f>
        <v>15</v>
      </c>
      <c r="I66" s="99">
        <f>VLOOKUP(C66,Uitgangspunten!A41:D42,4,FALSE)</f>
        <v>15</v>
      </c>
      <c r="J66" s="153">
        <f>K66</f>
        <v>60</v>
      </c>
      <c r="K66" s="3">
        <f>IF(C66=Uitgangspunten!A41,VLOOKUP(C64,Uitgangspunten!A56:G58,7,FALSE),0)*K64</f>
        <v>60</v>
      </c>
      <c r="M66" s="195">
        <f>IF(C7=Uitgangspunten!L3,0,H66*J66/10)</f>
        <v>90</v>
      </c>
      <c r="N66" s="184">
        <f>M66*10</f>
        <v>900</v>
      </c>
      <c r="O66" s="257"/>
    </row>
    <row r="67" spans="2:15">
      <c r="B67" s="44" t="s">
        <v>221</v>
      </c>
      <c r="C67" s="151"/>
      <c r="D67" s="151"/>
      <c r="E67" s="151"/>
      <c r="H67" s="151"/>
      <c r="I67" s="50"/>
      <c r="J67" s="150"/>
      <c r="M67" s="195">
        <f>E67*H67*J67/10</f>
        <v>0</v>
      </c>
      <c r="N67" s="184">
        <f>M67*10</f>
        <v>0</v>
      </c>
      <c r="O67" s="257"/>
    </row>
    <row r="68" spans="2:15">
      <c r="B68" s="241"/>
      <c r="C68" s="37"/>
      <c r="D68" s="37"/>
      <c r="E68" s="37"/>
      <c r="F68" s="37"/>
      <c r="G68" s="37"/>
      <c r="H68" s="37"/>
      <c r="I68" s="146"/>
      <c r="J68" s="37"/>
      <c r="K68" s="37"/>
      <c r="L68" s="37"/>
      <c r="M68" s="91"/>
      <c r="N68" s="38"/>
      <c r="O68" s="251"/>
    </row>
    <row r="69" spans="2:15" ht="17.100000000000001" thickBot="1">
      <c r="B69" s="39" t="s">
        <v>89</v>
      </c>
      <c r="C69" s="40"/>
      <c r="D69" s="40"/>
      <c r="E69" s="40"/>
      <c r="F69" s="40"/>
      <c r="G69" s="40"/>
      <c r="H69" s="40"/>
      <c r="I69" s="149"/>
      <c r="J69" s="40"/>
      <c r="K69" s="40"/>
      <c r="L69" s="40"/>
      <c r="M69" s="201">
        <f>SUM(M48:M67)</f>
        <v>1664.13</v>
      </c>
      <c r="N69" s="41"/>
      <c r="O69" s="254"/>
    </row>
    <row r="70" spans="2:15" ht="17.100000000000001" thickBot="1">
      <c r="B70" s="39" t="s">
        <v>222</v>
      </c>
      <c r="C70" s="40"/>
      <c r="D70" s="40"/>
      <c r="E70" s="40"/>
      <c r="F70" s="40"/>
      <c r="G70" s="40"/>
      <c r="H70" s="40"/>
      <c r="I70" s="149"/>
      <c r="J70" s="40"/>
      <c r="K70" s="40"/>
      <c r="L70" s="40"/>
      <c r="M70" s="201">
        <f>M69/SUM(C3:C5)*100</f>
        <v>332.82600000000002</v>
      </c>
      <c r="N70" s="41"/>
      <c r="O70" s="254"/>
    </row>
  </sheetData>
  <sheetProtection algorithmName="SHA-512" hashValue="FXlklOi8z0GDf+VjvWmxqtkHGE86sDsekhBeXziGzxVsIhVvjj65DZJW4nepGbB9kTHRBmf1A0etSrcANvQ3EA==" saltValue="J/w91dmZSQF911vj/z34jQ==" spinCount="100000" sheet="1" objects="1" scenarios="1" formatCells="0" formatColumns="0" formatRows="0"/>
  <mergeCells count="56">
    <mergeCell ref="D61:E61"/>
    <mergeCell ref="D60:E60"/>
    <mergeCell ref="D59:E59"/>
    <mergeCell ref="C49:I49"/>
    <mergeCell ref="A4:A6"/>
    <mergeCell ref="C35:C36"/>
    <mergeCell ref="D35:F36"/>
    <mergeCell ref="A7:A8"/>
    <mergeCell ref="C26:F26"/>
    <mergeCell ref="C25:F25"/>
    <mergeCell ref="C24:F24"/>
    <mergeCell ref="C23:F23"/>
    <mergeCell ref="C20:F20"/>
    <mergeCell ref="C22:F22"/>
    <mergeCell ref="C21:F21"/>
    <mergeCell ref="C19:F19"/>
    <mergeCell ref="C18:F18"/>
    <mergeCell ref="D5:E5"/>
    <mergeCell ref="C12:G12"/>
    <mergeCell ref="B1:N1"/>
    <mergeCell ref="C16:G16"/>
    <mergeCell ref="C15:G15"/>
    <mergeCell ref="C14:G14"/>
    <mergeCell ref="C13:G13"/>
    <mergeCell ref="C11:G11"/>
    <mergeCell ref="C10:G10"/>
    <mergeCell ref="D2:E2"/>
    <mergeCell ref="D4:E4"/>
    <mergeCell ref="D3:E3"/>
    <mergeCell ref="C9:G9"/>
    <mergeCell ref="E57:F57"/>
    <mergeCell ref="E55:F56"/>
    <mergeCell ref="E54:F54"/>
    <mergeCell ref="E53:F53"/>
    <mergeCell ref="D55:D56"/>
    <mergeCell ref="B64:B65"/>
    <mergeCell ref="C64:C65"/>
    <mergeCell ref="D64:D65"/>
    <mergeCell ref="F64:F65"/>
    <mergeCell ref="E64:E65"/>
    <mergeCell ref="B46:N46"/>
    <mergeCell ref="C55:C56"/>
    <mergeCell ref="B55:B56"/>
    <mergeCell ref="D29:G29"/>
    <mergeCell ref="D33:G33"/>
    <mergeCell ref="D32:G32"/>
    <mergeCell ref="D31:G31"/>
    <mergeCell ref="D30:G30"/>
    <mergeCell ref="D40:G40"/>
    <mergeCell ref="D39:G39"/>
    <mergeCell ref="C48:I48"/>
    <mergeCell ref="C47:I47"/>
    <mergeCell ref="C51:I51"/>
    <mergeCell ref="D34:F34"/>
    <mergeCell ref="D37:F37"/>
    <mergeCell ref="C50:I50"/>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CFBAD460-4AC3-4647-AED9-2DCF8389DCD4}">
          <x14:formula1>
            <xm:f>Uitgangspunten!$A$36:$A$38</xm:f>
          </x14:formula1>
          <xm:sqref>D55</xm:sqref>
        </x14:dataValidation>
        <x14:dataValidation type="list" allowBlank="1" showInputMessage="1" showErrorMessage="1" xr:uid="{EBAD7DB4-1EED-47A2-986F-A295FD19D047}">
          <x14:formula1>
            <xm:f>Uitgangspunten!$A$52:$A$54</xm:f>
          </x14:formula1>
          <xm:sqref>C55</xm:sqref>
        </x14:dataValidation>
        <x14:dataValidation type="list" allowBlank="1" showInputMessage="1" showErrorMessage="1" xr:uid="{E58BCC3F-634C-4D51-8119-017501801D70}">
          <x14:formula1>
            <xm:f>Uitgangspunten!$L$2:$L$4</xm:f>
          </x14:formula1>
          <xm:sqref>C7</xm:sqref>
        </x14:dataValidation>
        <x14:dataValidation type="list" allowBlank="1" showInputMessage="1" showErrorMessage="1" xr:uid="{CB283891-D4EC-4723-B8A9-145B97043672}">
          <x14:formula1>
            <xm:f>Uitgangspunten!$A$33:$A$36</xm:f>
          </x14:formula1>
          <xm:sqref>D30:D32</xm:sqref>
        </x14:dataValidation>
        <x14:dataValidation type="list" allowBlank="1" showInputMessage="1" showErrorMessage="1" xr:uid="{6D772052-97D0-492A-92A6-58B3084C724F}">
          <x14:formula1>
            <xm:f>Uitgangspunten!$K$3:$K$4</xm:f>
          </x14:formula1>
          <xm:sqref>C6</xm:sqref>
        </x14:dataValidation>
        <x14:dataValidation type="list" allowBlank="1" showInputMessage="1" showErrorMessage="1" xr:uid="{4D6132B5-BF38-4FB9-97FC-13596886ED35}">
          <x14:formula1>
            <xm:f>Uitgangspunten!$J$2:$J$4</xm:f>
          </x14:formula1>
          <xm:sqref>C40 C23:C24 C30:C32 C10:C14 C51 C48:C49 C20 C60:C61</xm:sqref>
        </x14:dataValidation>
        <x14:dataValidation type="list" allowBlank="1" showInputMessage="1" showErrorMessage="1" xr:uid="{DFDE214B-033C-448B-92F4-A2BBA811D181}">
          <x14:formula1>
            <xm:f>Uitgangspunten!$A$56:$A$58</xm:f>
          </x14:formula1>
          <xm:sqref>C64</xm:sqref>
        </x14:dataValidation>
        <x14:dataValidation type="list" allowBlank="1" showInputMessage="1" showErrorMessage="1" xr:uid="{0F1C9C2C-86A3-4A7B-959E-4570B4D023E6}">
          <x14:formula1>
            <xm:f>Uitgangspunten!$A$33:$A$35</xm:f>
          </x14:formula1>
          <xm:sqref>C15:C16 D54</xm:sqref>
        </x14:dataValidation>
        <x14:dataValidation type="list" allowBlank="1" showInputMessage="1" showErrorMessage="1" xr:uid="{15071D3C-6802-4F65-8BE2-894597B113D3}">
          <x14:formula1>
            <xm:f>Uitgangspunten!$A$41:$A$42</xm:f>
          </x14:formula1>
          <xm:sqref>C37 C57 C66</xm:sqref>
        </x14:dataValidation>
        <x14:dataValidation type="list" allowBlank="1" showInputMessage="1" showErrorMessage="1" xr:uid="{BA5CA3BA-02E6-44B9-827B-1D4EF30BF7C5}">
          <x14:formula1>
            <xm:f>Uitgangspunten!$A$27:$A$29</xm:f>
          </x14:formula1>
          <xm:sqref>C35</xm:sqref>
        </x14:dataValidation>
        <x14:dataValidation type="list" allowBlank="1" showInputMessage="1" showErrorMessage="1" xr:uid="{9C1B2308-BA2D-493B-9FE7-6107A605E7FA}">
          <x14:formula1>
            <xm:f>IF($C$35=Uitgangspunten!$A$29,Uitgangspunten!$A$33:$A$35,Uitgangspunten!$A$36:$A$38)</xm:f>
          </x14:formula1>
          <xm:sqref>D35</xm:sqref>
        </x14:dataValidation>
        <x14:dataValidation type="list" allowBlank="1" showInputMessage="1" showErrorMessage="1" xr:uid="{3EC91402-D8F2-453F-B007-FD9C6A9D4618}">
          <x14:formula1>
            <xm:f>IF(#REF!=Uitgangspunten!$A$58,Uitgangspunten!$A$33:$A$35,Uitgangspunten!$A$36:$A$38)</xm:f>
          </x14:formula1>
          <xm:sqref>D64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B79F-D86C-4038-8C4B-5C9004E1D1C1}">
  <sheetPr>
    <tabColor theme="5"/>
  </sheetPr>
  <dimension ref="A1:N39"/>
  <sheetViews>
    <sheetView zoomScale="50" zoomScaleNormal="50" workbookViewId="0">
      <selection activeCell="K16" sqref="K16"/>
    </sheetView>
  </sheetViews>
  <sheetFormatPr defaultColWidth="9.09765625" defaultRowHeight="16.5" outlineLevelCol="1"/>
  <cols>
    <col min="1" max="1" width="22.8984375" style="35" customWidth="1"/>
    <col min="2" max="2" width="43.09765625" style="35" customWidth="1"/>
    <col min="3" max="3" width="17.796875" style="35" customWidth="1"/>
    <col min="4" max="4" width="17" style="35" customWidth="1"/>
    <col min="5" max="5" width="15.8984375" style="35" customWidth="1"/>
    <col min="6" max="6" width="7.09765625" style="35" customWidth="1" outlineLevel="1"/>
    <col min="7" max="7" width="17.69921875" style="35" customWidth="1"/>
    <col min="8" max="8" width="10.3984375" style="35" hidden="1" customWidth="1" outlineLevel="1"/>
    <col min="9" max="9" width="11.59765625" style="35" customWidth="1" collapsed="1"/>
    <col min="10" max="10" width="5.09765625" style="35" customWidth="1"/>
    <col min="11" max="11" width="12.69921875" style="35" customWidth="1"/>
    <col min="12" max="13" width="15.8984375" style="35" customWidth="1"/>
    <col min="14" max="16384" width="9.09765625" style="35"/>
  </cols>
  <sheetData>
    <row r="1" spans="1:14" ht="17.100000000000001" thickBot="1">
      <c r="B1" s="309" t="s">
        <v>223</v>
      </c>
      <c r="C1" s="310"/>
      <c r="D1" s="310"/>
      <c r="E1" s="310"/>
      <c r="F1" s="310"/>
      <c r="G1" s="310"/>
      <c r="H1" s="310"/>
      <c r="I1" s="310"/>
      <c r="J1" s="310"/>
      <c r="K1" s="310"/>
      <c r="L1" s="311"/>
      <c r="M1" s="259" t="s">
        <v>125</v>
      </c>
    </row>
    <row r="2" spans="1:14" ht="33">
      <c r="A2" s="231" t="s">
        <v>5</v>
      </c>
      <c r="B2" s="113" t="s">
        <v>224</v>
      </c>
      <c r="C2" s="48" t="s">
        <v>225</v>
      </c>
      <c r="D2" s="63" t="s">
        <v>226</v>
      </c>
      <c r="F2" s="63"/>
      <c r="K2" s="92" t="s">
        <v>227</v>
      </c>
      <c r="L2" s="49" t="s">
        <v>228</v>
      </c>
      <c r="M2" s="256"/>
    </row>
    <row r="3" spans="1:14">
      <c r="A3" s="232" t="s">
        <v>8</v>
      </c>
      <c r="B3" s="44" t="s">
        <v>229</v>
      </c>
      <c r="C3" s="150" t="s">
        <v>230</v>
      </c>
      <c r="D3" s="150">
        <v>0</v>
      </c>
      <c r="E3" s="137" t="str">
        <f>IF(C3=Uitgangspunten!M4,"€ per boom","% aankoopkosten bomen")</f>
        <v>€ per boom</v>
      </c>
      <c r="F3" s="139"/>
      <c r="K3" s="195">
        <f>IF(C3=Uitgangspunten!M4,D3*'Invoer | Kosten'!J19,D3*'Invoer | Kosten'!J19/100)</f>
        <v>0</v>
      </c>
      <c r="L3" s="184">
        <f>K3/SUM('Invoer | Kosten'!$C$3:$C$5)*100</f>
        <v>0</v>
      </c>
      <c r="M3" s="257"/>
    </row>
    <row r="4" spans="1:14" ht="17.100000000000001" customHeight="1" thickBot="1">
      <c r="A4" s="284" t="s">
        <v>128</v>
      </c>
      <c r="B4" s="44" t="s">
        <v>231</v>
      </c>
      <c r="C4" s="150" t="s">
        <v>232</v>
      </c>
      <c r="D4" s="158">
        <v>11141.25</v>
      </c>
      <c r="K4" s="195">
        <f>D4</f>
        <v>11141.25</v>
      </c>
      <c r="L4" s="184">
        <f>K4/SUM('Invoer | Kosten'!$C$3:$C$5)*100</f>
        <v>2228.25</v>
      </c>
      <c r="M4" s="257"/>
    </row>
    <row r="5" spans="1:14" ht="17.100000000000001" thickBot="1">
      <c r="A5" s="285"/>
      <c r="B5" s="109" t="s">
        <v>233</v>
      </c>
      <c r="C5" s="112"/>
      <c r="D5" s="112"/>
      <c r="E5" s="112"/>
      <c r="F5" s="112"/>
      <c r="G5" s="114"/>
      <c r="H5" s="114"/>
      <c r="I5" s="114"/>
      <c r="J5" s="114"/>
      <c r="K5" s="196">
        <f>SUM(K3:K4)</f>
        <v>11141.25</v>
      </c>
      <c r="L5" s="190">
        <f>K5/SUM('Invoer | Kosten'!$C$3:$C$5)*100</f>
        <v>2228.25</v>
      </c>
      <c r="M5" s="257"/>
    </row>
    <row r="6" spans="1:14">
      <c r="A6" s="285"/>
      <c r="B6" s="121" t="s">
        <v>234</v>
      </c>
      <c r="C6" s="122"/>
      <c r="D6" s="122"/>
      <c r="E6" s="122"/>
      <c r="F6" s="122"/>
      <c r="G6" s="124"/>
      <c r="H6" s="124"/>
      <c r="I6" s="124"/>
      <c r="J6" s="124"/>
      <c r="K6" s="191">
        <f>'Invoer | Kosten'!M43</f>
        <v>14855</v>
      </c>
      <c r="L6" s="192">
        <f>K6/SUM('Invoer | Kosten'!$C$3:$C$5)*100</f>
        <v>2971</v>
      </c>
      <c r="M6" s="257"/>
    </row>
    <row r="7" spans="1:14" ht="17.45" customHeight="1" thickBot="1">
      <c r="A7" s="286" t="s">
        <v>14</v>
      </c>
      <c r="B7" s="118" t="s">
        <v>235</v>
      </c>
      <c r="C7" s="119"/>
      <c r="D7" s="119"/>
      <c r="E7" s="119"/>
      <c r="F7" s="119"/>
      <c r="G7" s="61"/>
      <c r="H7" s="61"/>
      <c r="I7" s="61"/>
      <c r="J7" s="61"/>
      <c r="K7" s="193">
        <f>K5-K6</f>
        <v>-3713.75</v>
      </c>
      <c r="L7" s="197">
        <f>K7/SUM('Invoer | Kosten'!$C$3:$C$5)*100</f>
        <v>-742.75</v>
      </c>
      <c r="M7" s="257"/>
    </row>
    <row r="8" spans="1:14" ht="17.100000000000001" thickBot="1">
      <c r="A8" s="286"/>
      <c r="M8" s="251"/>
    </row>
    <row r="9" spans="1:14" s="74" customFormat="1" ht="17.100000000000001" thickBot="1">
      <c r="A9" s="233" t="s">
        <v>19</v>
      </c>
      <c r="B9" s="309" t="s">
        <v>236</v>
      </c>
      <c r="C9" s="310"/>
      <c r="D9" s="310"/>
      <c r="E9" s="310"/>
      <c r="F9" s="310"/>
      <c r="G9" s="310"/>
      <c r="H9" s="310"/>
      <c r="I9" s="310"/>
      <c r="J9" s="310"/>
      <c r="K9" s="310"/>
      <c r="L9" s="311"/>
      <c r="M9" s="260"/>
      <c r="N9" s="35"/>
    </row>
    <row r="10" spans="1:14" ht="33">
      <c r="B10" s="113" t="s">
        <v>237</v>
      </c>
      <c r="C10" s="97" t="s">
        <v>238</v>
      </c>
      <c r="D10" s="315" t="s">
        <v>136</v>
      </c>
      <c r="E10" s="315"/>
      <c r="F10" s="97"/>
      <c r="G10" s="48" t="s">
        <v>239</v>
      </c>
      <c r="H10" s="48"/>
      <c r="I10" s="48"/>
      <c r="J10" s="48"/>
      <c r="K10" s="89" t="s">
        <v>240</v>
      </c>
      <c r="L10" s="96"/>
      <c r="M10" s="261"/>
    </row>
    <row r="11" spans="1:14">
      <c r="B11" s="44" t="s">
        <v>241</v>
      </c>
      <c r="C11" s="165" t="s">
        <v>124</v>
      </c>
      <c r="D11" s="273" t="s">
        <v>242</v>
      </c>
      <c r="E11" s="273"/>
      <c r="F11" s="34"/>
      <c r="G11" s="180">
        <f>H11</f>
        <v>430</v>
      </c>
      <c r="H11" s="102">
        <f>VLOOKUP($D$11,Uitgangspunten!$A$62:$H$66,COLUMN(Uitgangspunten!$H$61),FALSE)</f>
        <v>430</v>
      </c>
      <c r="I11" s="75"/>
      <c r="J11" s="75"/>
      <c r="K11" s="183">
        <f>IF(C11="ja", G11*SUM('Invoer | Kosten'!C3:C5)/100,0)</f>
        <v>2150</v>
      </c>
      <c r="L11" s="184">
        <f>K11/SUM('Invoer | Kosten'!$C$3:$C$5)*100</f>
        <v>430</v>
      </c>
      <c r="M11" s="257"/>
    </row>
    <row r="12" spans="1:14">
      <c r="B12" s="44" t="s">
        <v>243</v>
      </c>
      <c r="C12" s="165"/>
      <c r="D12" s="280"/>
      <c r="E12" s="280"/>
      <c r="F12" s="163"/>
      <c r="G12" s="181"/>
      <c r="H12" s="75"/>
      <c r="I12" s="75"/>
      <c r="J12" s="75"/>
      <c r="K12" s="183">
        <f>IF(C12="ja", G12*SUM('Invoer | Kosten'!#REF!)/100,0)</f>
        <v>0</v>
      </c>
      <c r="L12" s="184">
        <f>K12/SUM('Invoer | Kosten'!$C$3:$C$5)*100</f>
        <v>0</v>
      </c>
      <c r="M12" s="257"/>
    </row>
    <row r="13" spans="1:14">
      <c r="B13" s="46" t="s">
        <v>244</v>
      </c>
      <c r="C13" s="47"/>
      <c r="D13" s="47"/>
      <c r="E13" s="47"/>
      <c r="F13" s="47"/>
      <c r="G13" s="182">
        <f>SUMIF($C11:$C12,"ja",G11:G12)</f>
        <v>430</v>
      </c>
      <c r="H13" s="95"/>
      <c r="I13" s="95"/>
      <c r="J13" s="95"/>
      <c r="K13" s="185">
        <f>SUMIF($C11:$C12,"ja",K11:K12)</f>
        <v>2150</v>
      </c>
      <c r="L13" s="186">
        <f>K13/SUM('Invoer | Kosten'!$C$3:$C$5)*100</f>
        <v>430</v>
      </c>
      <c r="M13" s="262"/>
    </row>
    <row r="14" spans="1:14">
      <c r="B14" s="46"/>
      <c r="C14" s="47"/>
      <c r="D14" s="47"/>
      <c r="E14" s="47"/>
      <c r="F14" s="47"/>
      <c r="G14" s="182"/>
      <c r="H14" s="95"/>
      <c r="I14" s="95"/>
      <c r="J14" s="95"/>
      <c r="K14" s="185"/>
      <c r="L14" s="186"/>
      <c r="M14" s="262"/>
    </row>
    <row r="15" spans="1:14" ht="33">
      <c r="B15" s="46" t="s">
        <v>245</v>
      </c>
      <c r="C15" s="279" t="s">
        <v>246</v>
      </c>
      <c r="D15" s="279"/>
      <c r="E15" s="48" t="s">
        <v>247</v>
      </c>
      <c r="F15" s="47"/>
      <c r="G15" s="205" t="s">
        <v>248</v>
      </c>
      <c r="H15" s="95"/>
      <c r="I15" s="95"/>
      <c r="J15" s="95"/>
      <c r="K15" s="185"/>
      <c r="L15" s="186"/>
      <c r="M15" s="262"/>
    </row>
    <row r="16" spans="1:14">
      <c r="B16" s="53" t="s">
        <v>249</v>
      </c>
      <c r="C16" s="280" t="s">
        <v>124</v>
      </c>
      <c r="D16" s="280"/>
      <c r="E16" s="266">
        <v>900000</v>
      </c>
      <c r="F16" s="57"/>
      <c r="G16" s="265">
        <v>1E-3</v>
      </c>
      <c r="H16" s="206"/>
      <c r="I16" s="206"/>
      <c r="J16" s="206"/>
      <c r="K16" s="207">
        <f>E16*G16</f>
        <v>900</v>
      </c>
      <c r="L16" s="188">
        <f>K16/SUM('Invoer | Kosten'!$C$3:$C$5)*100</f>
        <v>180</v>
      </c>
      <c r="M16" s="263"/>
    </row>
    <row r="17" spans="2:13">
      <c r="B17" s="44"/>
      <c r="C17" s="34"/>
      <c r="D17" s="34"/>
      <c r="E17" s="34"/>
      <c r="F17" s="34"/>
      <c r="K17" s="183"/>
      <c r="L17" s="184"/>
      <c r="M17" s="257"/>
    </row>
    <row r="18" spans="2:13" ht="33">
      <c r="B18" s="46" t="s">
        <v>250</v>
      </c>
      <c r="C18" s="279" t="s">
        <v>251</v>
      </c>
      <c r="D18" s="279"/>
      <c r="E18" s="47" t="s">
        <v>183</v>
      </c>
      <c r="F18" s="47"/>
      <c r="G18" s="48" t="s">
        <v>239</v>
      </c>
      <c r="H18" s="48"/>
      <c r="I18" s="48"/>
      <c r="J18" s="48"/>
      <c r="K18" s="187" t="s">
        <v>240</v>
      </c>
      <c r="L18" s="186"/>
      <c r="M18" s="262"/>
    </row>
    <row r="19" spans="2:13">
      <c r="B19" s="53" t="s">
        <v>252</v>
      </c>
      <c r="C19" s="316"/>
      <c r="D19" s="316"/>
      <c r="E19" s="165" t="s">
        <v>124</v>
      </c>
      <c r="F19" s="163"/>
      <c r="G19" s="158"/>
      <c r="H19" s="42"/>
      <c r="I19" s="48"/>
      <c r="J19" s="48"/>
      <c r="K19" s="183">
        <f>IF(E19="ja", G19*SUM('Invoer | Kosten'!C3:C5)/100,0)</f>
        <v>0</v>
      </c>
      <c r="L19" s="188">
        <f>K19/SUM('Invoer | Kosten'!$C$3:$C$5)*100</f>
        <v>0</v>
      </c>
      <c r="M19" s="263"/>
    </row>
    <row r="20" spans="2:13">
      <c r="B20" s="53" t="s">
        <v>253</v>
      </c>
      <c r="C20" s="316"/>
      <c r="D20" s="316"/>
      <c r="E20" s="167" t="s">
        <v>154</v>
      </c>
      <c r="F20" s="164"/>
      <c r="G20" s="166"/>
      <c r="H20" s="75"/>
      <c r="I20" s="48"/>
      <c r="J20" s="48"/>
      <c r="K20" s="183">
        <f>IF(E20="ja", G20*SUM('Invoer | Kosten'!C3:C5)/100,0)</f>
        <v>0</v>
      </c>
      <c r="L20" s="188">
        <f>K20/SUM('Invoer | Kosten'!$C$3:$C$5)*100</f>
        <v>0</v>
      </c>
      <c r="M20" s="263"/>
    </row>
    <row r="21" spans="2:13">
      <c r="B21" s="53" t="s">
        <v>254</v>
      </c>
      <c r="C21" s="316"/>
      <c r="D21" s="316"/>
      <c r="E21" s="167" t="s">
        <v>124</v>
      </c>
      <c r="F21" s="164"/>
      <c r="G21" s="166"/>
      <c r="H21" s="75"/>
      <c r="I21" s="48"/>
      <c r="J21" s="48"/>
      <c r="K21" s="183">
        <f>IF(E21="ja", G21*SUM('Invoer | Kosten'!C3:C5)/100,0)</f>
        <v>0</v>
      </c>
      <c r="L21" s="188">
        <f>K21/SUM('Invoer | Kosten'!$C$3:$C$5)*100</f>
        <v>0</v>
      </c>
      <c r="M21" s="263"/>
    </row>
    <row r="22" spans="2:13">
      <c r="B22" s="46" t="s">
        <v>255</v>
      </c>
      <c r="C22" s="100"/>
      <c r="G22" s="95">
        <f>SUMIF($E19:$E21,"ja",G19:G21)</f>
        <v>0</v>
      </c>
      <c r="H22" s="95"/>
      <c r="I22" s="95"/>
      <c r="J22" s="95"/>
      <c r="K22" s="185">
        <f>SUMIF($E19:$E21,"ja",K19:K21)</f>
        <v>0</v>
      </c>
      <c r="L22" s="186">
        <f>K22/SUM('Invoer | Kosten'!$C$3:$C$5)*100</f>
        <v>0</v>
      </c>
      <c r="M22" s="262"/>
    </row>
    <row r="23" spans="2:13" ht="17.100000000000001" thickBot="1">
      <c r="B23" s="53"/>
      <c r="C23" s="82"/>
      <c r="G23" s="75"/>
      <c r="H23" s="75"/>
      <c r="I23" s="75"/>
      <c r="J23" s="75"/>
      <c r="K23" s="183"/>
      <c r="L23" s="184"/>
      <c r="M23" s="257"/>
    </row>
    <row r="24" spans="2:13" ht="17.100000000000001" thickBot="1">
      <c r="B24" s="109" t="s">
        <v>256</v>
      </c>
      <c r="C24" s="110"/>
      <c r="D24" s="110"/>
      <c r="E24" s="161"/>
      <c r="F24" s="161"/>
      <c r="G24" s="111"/>
      <c r="H24" s="111"/>
      <c r="I24" s="111"/>
      <c r="J24" s="161"/>
      <c r="K24" s="189">
        <f>K13+K22+K16</f>
        <v>3050</v>
      </c>
      <c r="L24" s="190">
        <f>K24/SUM('Invoer | Kosten'!$C$3:$C$5)*100</f>
        <v>610</v>
      </c>
      <c r="M24" s="257"/>
    </row>
    <row r="25" spans="2:13">
      <c r="B25" s="121" t="s">
        <v>257</v>
      </c>
      <c r="C25" s="122"/>
      <c r="D25" s="123"/>
      <c r="E25" s="162"/>
      <c r="F25" s="162"/>
      <c r="G25" s="123"/>
      <c r="H25" s="123"/>
      <c r="I25" s="122"/>
      <c r="J25" s="162"/>
      <c r="K25" s="191">
        <f>'Invoer | Kosten'!M69</f>
        <v>1664.13</v>
      </c>
      <c r="L25" s="192">
        <f>K25/SUM('Invoer | Kosten'!$C$3:$C$5)*100</f>
        <v>332.82600000000002</v>
      </c>
      <c r="M25" s="257"/>
    </row>
    <row r="26" spans="2:13" ht="17.100000000000001" thickBot="1">
      <c r="B26" s="118" t="s">
        <v>258</v>
      </c>
      <c r="C26" s="125"/>
      <c r="D26" s="125"/>
      <c r="E26" s="160"/>
      <c r="F26" s="160"/>
      <c r="G26" s="120"/>
      <c r="H26" s="120"/>
      <c r="I26" s="126"/>
      <c r="J26" s="160"/>
      <c r="K26" s="193">
        <f>K24-K25</f>
        <v>1385.87</v>
      </c>
      <c r="L26" s="194">
        <f>K26/SUM('Invoer | Kosten'!$C$3:$C$5)*100</f>
        <v>277.17399999999998</v>
      </c>
      <c r="M26" s="262"/>
    </row>
    <row r="27" spans="2:13" ht="17.100000000000001" thickBot="1">
      <c r="L27" s="42"/>
      <c r="M27" s="258"/>
    </row>
    <row r="28" spans="2:13">
      <c r="B28" s="312" t="s">
        <v>259</v>
      </c>
      <c r="C28" s="313"/>
      <c r="D28" s="313"/>
      <c r="E28" s="313"/>
      <c r="F28" s="313"/>
      <c r="G28" s="313"/>
      <c r="H28" s="313"/>
      <c r="I28" s="313"/>
      <c r="J28" s="313"/>
      <c r="K28" s="313"/>
      <c r="L28" s="314"/>
      <c r="M28" s="264"/>
    </row>
    <row r="29" spans="2:13" ht="51.95" customHeight="1">
      <c r="B29" s="98" t="s">
        <v>260</v>
      </c>
      <c r="C29" s="47" t="s">
        <v>183</v>
      </c>
      <c r="D29" s="48" t="s">
        <v>261</v>
      </c>
      <c r="E29" s="48" t="s">
        <v>262</v>
      </c>
      <c r="F29" s="48"/>
      <c r="G29" s="48" t="s">
        <v>263</v>
      </c>
      <c r="H29" s="48"/>
      <c r="I29" s="48" t="s">
        <v>264</v>
      </c>
      <c r="J29" s="48"/>
      <c r="K29" s="101" t="s">
        <v>265</v>
      </c>
      <c r="L29" s="49" t="s">
        <v>266</v>
      </c>
      <c r="M29" s="256"/>
    </row>
    <row r="30" spans="2:13">
      <c r="B30" s="44" t="s">
        <v>267</v>
      </c>
      <c r="C30" s="165" t="s">
        <v>124</v>
      </c>
      <c r="D30" s="172" t="s">
        <v>151</v>
      </c>
      <c r="E30" s="179">
        <f>Uitgangspunten!H67</f>
        <v>150</v>
      </c>
      <c r="F30" s="42"/>
      <c r="G30" s="178">
        <f>H30</f>
        <v>16642.5</v>
      </c>
      <c r="H30" s="177">
        <f>E30*Samenvatting!C22*SUM(Samenvatting!C10:C12)</f>
        <v>16642.5</v>
      </c>
      <c r="I30" s="168">
        <v>0.05</v>
      </c>
      <c r="J30" s="171"/>
      <c r="K30" s="183">
        <f>IF(C30="ja",G30*I30,0)</f>
        <v>832.125</v>
      </c>
      <c r="L30" s="184">
        <f>K30/SUM('Invoer | Kosten'!$C$3:$C$5)*100</f>
        <v>166.42500000000001</v>
      </c>
      <c r="M30" s="257"/>
    </row>
    <row r="31" spans="2:13">
      <c r="B31" s="44" t="s">
        <v>268</v>
      </c>
      <c r="C31" s="165" t="s">
        <v>124</v>
      </c>
      <c r="D31" s="150" t="str">
        <f>Uitgangspunten!B69</f>
        <v>gemiddeld</v>
      </c>
      <c r="E31" s="178">
        <f>F31</f>
        <v>43.01</v>
      </c>
      <c r="F31" s="99">
        <f>VLOOKUP(D31,Uitgangspunten!B68:H70,COLUMN(Uitgangspunten!H61)-1,FALSE)/100</f>
        <v>43.01</v>
      </c>
      <c r="G31" s="178">
        <f>H31</f>
        <v>4771.9594999999999</v>
      </c>
      <c r="H31" s="177">
        <f>E31*Samenvatting!C22*SUM(Samenvatting!C10:C12)</f>
        <v>4771.9594999999999</v>
      </c>
      <c r="I31" s="168">
        <v>0.1</v>
      </c>
      <c r="J31" s="171"/>
      <c r="K31" s="183">
        <f>IF(C31="ja",G31*I31,0)</f>
        <v>477.19595000000004</v>
      </c>
      <c r="L31" s="184">
        <f>K31/SUM('Invoer | Kosten'!$C$3:$C$5)*100</f>
        <v>95.439190000000011</v>
      </c>
      <c r="M31" s="257"/>
    </row>
    <row r="32" spans="2:13">
      <c r="B32" s="44" t="s">
        <v>269</v>
      </c>
      <c r="C32" s="165"/>
      <c r="D32" s="172" t="s">
        <v>151</v>
      </c>
      <c r="E32" s="179">
        <v>0</v>
      </c>
      <c r="F32" s="42"/>
      <c r="G32" s="178">
        <f>H32</f>
        <v>0</v>
      </c>
      <c r="H32" s="177">
        <f>E32*Samenvatting!C22*SUM(Samenvatting!C10:C12)</f>
        <v>0</v>
      </c>
      <c r="I32" s="168">
        <v>0.05</v>
      </c>
      <c r="J32" s="171"/>
      <c r="K32" s="183">
        <f>IF(C32="ja",G32*I32,0)</f>
        <v>0</v>
      </c>
      <c r="L32" s="184">
        <f>K32/SUM('Invoer | Kosten'!$C$3:$C$5)*100</f>
        <v>0</v>
      </c>
      <c r="M32" s="257"/>
    </row>
    <row r="33" spans="2:13">
      <c r="B33" s="44" t="s">
        <v>270</v>
      </c>
      <c r="C33" s="165"/>
      <c r="D33" s="172" t="s">
        <v>151</v>
      </c>
      <c r="E33" s="172" t="s">
        <v>151</v>
      </c>
      <c r="F33" s="34"/>
      <c r="G33" s="151"/>
      <c r="I33" s="150"/>
      <c r="J33" s="172"/>
      <c r="K33" s="183">
        <f>IF(C33="ja",G33*I33,0)</f>
        <v>0</v>
      </c>
      <c r="L33" s="184">
        <f>K33/SUM('Invoer | Kosten'!$C$3:$C$5)*100</f>
        <v>0</v>
      </c>
      <c r="M33" s="257"/>
    </row>
    <row r="34" spans="2:13">
      <c r="B34" s="44" t="s">
        <v>271</v>
      </c>
      <c r="C34" s="165"/>
      <c r="D34" s="151"/>
      <c r="E34" s="151"/>
      <c r="G34" s="151"/>
      <c r="I34" s="150"/>
      <c r="J34" s="172"/>
      <c r="K34" s="183">
        <f>IF(C34="ja",G34*I34,0)</f>
        <v>0</v>
      </c>
      <c r="L34" s="184">
        <f>K34/SUM('Invoer | Kosten'!$C$3:$C$5)*100</f>
        <v>0</v>
      </c>
      <c r="M34" s="257"/>
    </row>
    <row r="35" spans="2:13">
      <c r="B35" s="44"/>
      <c r="K35" s="183"/>
      <c r="L35" s="184"/>
      <c r="M35" s="257"/>
    </row>
    <row r="36" spans="2:13" ht="49.5">
      <c r="B36" s="46" t="s">
        <v>272</v>
      </c>
      <c r="C36" s="279" t="s">
        <v>183</v>
      </c>
      <c r="D36" s="279"/>
      <c r="E36" s="48" t="s">
        <v>273</v>
      </c>
      <c r="F36" s="48"/>
      <c r="G36" s="48" t="s">
        <v>274</v>
      </c>
      <c r="H36" s="115"/>
      <c r="I36" s="115"/>
      <c r="J36" s="47"/>
      <c r="K36" s="183"/>
      <c r="L36" s="184"/>
      <c r="M36" s="257"/>
    </row>
    <row r="37" spans="2:13">
      <c r="B37" s="208" t="s">
        <v>275</v>
      </c>
      <c r="C37" s="308" t="s">
        <v>124</v>
      </c>
      <c r="D37" s="308"/>
      <c r="E37" s="155">
        <v>0.2</v>
      </c>
      <c r="G37" s="150">
        <v>75</v>
      </c>
      <c r="I37" s="34"/>
      <c r="J37" s="34"/>
      <c r="K37" s="183">
        <f>E37*G37*SUM('Invoer | Kosten'!$C$3:$C$5)/100</f>
        <v>75</v>
      </c>
      <c r="L37" s="184">
        <f>K37/SUM('Invoer | Kosten'!$C$3:$C$5)*100</f>
        <v>15</v>
      </c>
      <c r="M37" s="257"/>
    </row>
    <row r="38" spans="2:13" ht="17.100000000000001" thickBot="1">
      <c r="B38" s="44"/>
      <c r="K38" s="183"/>
      <c r="L38" s="184"/>
      <c r="M38" s="257"/>
    </row>
    <row r="39" spans="2:13" ht="17.100000000000001" thickBot="1">
      <c r="B39" s="109" t="s">
        <v>276</v>
      </c>
      <c r="C39" s="110"/>
      <c r="D39" s="110"/>
      <c r="E39" s="161"/>
      <c r="F39" s="161"/>
      <c r="G39" s="111"/>
      <c r="H39" s="111"/>
      <c r="I39" s="111"/>
      <c r="J39" s="161"/>
      <c r="K39" s="189">
        <f>SUM(K30:K37)</f>
        <v>1384.32095</v>
      </c>
      <c r="L39" s="190">
        <f>K39/SUM('Invoer | Kosten'!$C$3:$C$5)*100</f>
        <v>276.86419000000001</v>
      </c>
      <c r="M39" s="257"/>
    </row>
  </sheetData>
  <sheetProtection algorithmName="SHA-512" hashValue="5OqJcNOikjvAt7HhCqQyq9bESQrxaYgvIaHwYZrxz/k175fYWDCR5TSukIz6raGK7wWQbURDKFErnUfdBE652w==" saltValue="3jx/sxgr1ITW7LRFhpN98w==" spinCount="100000" sheet="1" objects="1" scenarios="1" formatCells="0" formatColumns="0" formatRows="0"/>
  <mergeCells count="16">
    <mergeCell ref="C36:D36"/>
    <mergeCell ref="C37:D37"/>
    <mergeCell ref="A4:A6"/>
    <mergeCell ref="B1:L1"/>
    <mergeCell ref="B9:L9"/>
    <mergeCell ref="B28:L28"/>
    <mergeCell ref="D11:E11"/>
    <mergeCell ref="D10:E10"/>
    <mergeCell ref="D12:E12"/>
    <mergeCell ref="C19:D19"/>
    <mergeCell ref="C20:D20"/>
    <mergeCell ref="C21:D21"/>
    <mergeCell ref="C18:D18"/>
    <mergeCell ref="A7:A8"/>
    <mergeCell ref="C15:D15"/>
    <mergeCell ref="C16:D16"/>
  </mergeCells>
  <conditionalFormatting sqref="F2:F3">
    <cfRule type="expression" dxfId="4" priority="8">
      <formula>$C$3&lt;&gt;F$2</formula>
    </cfRule>
  </conditionalFormatting>
  <conditionalFormatting sqref="K7">
    <cfRule type="cellIs" dxfId="3" priority="3" operator="lessThan">
      <formula>0</formula>
    </cfRule>
    <cfRule type="cellIs" dxfId="2" priority="4" operator="greaterThan">
      <formula>0</formula>
    </cfRule>
  </conditionalFormatting>
  <conditionalFormatting sqref="K26">
    <cfRule type="cellIs" dxfId="1" priority="1" operator="lessThan">
      <formula>0</formula>
    </cfRule>
    <cfRule type="cellIs" dxfId="0" priority="2" operator="greaterThan">
      <formula>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3296B6-F232-4078-92CE-15552F8C9E34}">
          <x14:formula1>
            <xm:f>Uitgangspunten!$J$2:$J$4</xm:f>
          </x14:formula1>
          <xm:sqref>C30:C34 E19:F21 C11:C12 C37 C16</xm:sqref>
        </x14:dataValidation>
        <x14:dataValidation type="list" allowBlank="1" showInputMessage="1" showErrorMessage="1" xr:uid="{69674F49-E2E2-4C11-8EA0-2B6C0B515DF8}">
          <x14:formula1>
            <xm:f>Uitgangspunten!$B$68:$B$70</xm:f>
          </x14:formula1>
          <xm:sqref>D31</xm:sqref>
        </x14:dataValidation>
        <x14:dataValidation type="list" allowBlank="1" showInputMessage="1" showErrorMessage="1" xr:uid="{B828C1EB-1091-448D-9480-6915B2A61619}">
          <x14:formula1>
            <xm:f>Uitgangspunten!$A$62:$A$66</xm:f>
          </x14:formula1>
          <xm:sqref>D11</xm:sqref>
        </x14:dataValidation>
        <x14:dataValidation type="list" allowBlank="1" showInputMessage="1" showErrorMessage="1" xr:uid="{70C66257-EF4C-4F72-ADCE-61E3118F3D0D}">
          <x14:formula1>
            <xm:f>Uitgangspunten!$M$3:$M$4</xm:f>
          </x14:formula1>
          <xm:sqref>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2667F-243F-47F6-8EB0-ED7EBBC60876}">
  <sheetPr>
    <tabColor theme="4"/>
  </sheetPr>
  <dimension ref="A1:Q74"/>
  <sheetViews>
    <sheetView zoomScale="50" zoomScaleNormal="50" workbookViewId="0">
      <selection activeCell="F46" sqref="F46"/>
    </sheetView>
  </sheetViews>
  <sheetFormatPr defaultColWidth="9.09765625" defaultRowHeight="16.5"/>
  <cols>
    <col min="1" max="1" width="44.5" style="35" customWidth="1"/>
    <col min="2" max="2" width="18.296875" style="34" customWidth="1"/>
    <col min="3" max="3" width="15" style="34" bestFit="1" customWidth="1"/>
    <col min="4" max="4" width="15" style="34" customWidth="1"/>
    <col min="5" max="5" width="22.3984375" style="34" bestFit="1" customWidth="1"/>
    <col min="6" max="6" width="20.5" style="34" bestFit="1" customWidth="1"/>
    <col min="7" max="7" width="18" style="34" customWidth="1"/>
    <col min="8" max="8" width="16.796875" style="35" customWidth="1"/>
    <col min="9" max="9" width="19.09765625" style="35" customWidth="1"/>
    <col min="10" max="10" width="15.09765625" style="35" customWidth="1"/>
    <col min="11" max="11" width="22.69921875" style="35" bestFit="1" customWidth="1"/>
    <col min="12" max="12" width="22.59765625" style="35" bestFit="1" customWidth="1"/>
    <col min="13" max="13" width="20.09765625" style="35" bestFit="1" customWidth="1"/>
    <col min="14" max="15" width="9.09765625" style="35"/>
    <col min="16" max="16" width="110.59765625" style="35" customWidth="1"/>
    <col min="17" max="16384" width="9.09765625" style="35"/>
  </cols>
  <sheetData>
    <row r="1" spans="1:13" ht="21.6">
      <c r="A1" s="86" t="s">
        <v>277</v>
      </c>
      <c r="B1" s="87"/>
      <c r="J1" s="23" t="s">
        <v>278</v>
      </c>
      <c r="K1" s="30"/>
      <c r="L1" s="30"/>
      <c r="M1" s="31"/>
    </row>
    <row r="2" spans="1:13">
      <c r="A2" s="4" t="s">
        <v>279</v>
      </c>
      <c r="B2" s="5" t="s">
        <v>280</v>
      </c>
      <c r="C2" s="5" t="s">
        <v>281</v>
      </c>
      <c r="D2" s="5" t="s">
        <v>282</v>
      </c>
      <c r="E2" s="5" t="s">
        <v>149</v>
      </c>
      <c r="F2" s="323" t="s">
        <v>283</v>
      </c>
      <c r="G2" s="323"/>
      <c r="H2" s="324"/>
      <c r="J2" s="24" t="s">
        <v>165</v>
      </c>
      <c r="K2" s="25" t="s">
        <v>284</v>
      </c>
      <c r="L2" s="25" t="s">
        <v>132</v>
      </c>
      <c r="M2" s="26" t="s">
        <v>285</v>
      </c>
    </row>
    <row r="3" spans="1:13">
      <c r="A3" s="6" t="s">
        <v>286</v>
      </c>
      <c r="B3" s="7" t="s">
        <v>287</v>
      </c>
      <c r="C3" s="234" t="s">
        <v>288</v>
      </c>
      <c r="D3" s="85">
        <v>1500</v>
      </c>
      <c r="E3" s="83">
        <v>1</v>
      </c>
      <c r="F3" s="338" t="s">
        <v>289</v>
      </c>
      <c r="G3" s="338"/>
      <c r="H3" s="338"/>
      <c r="J3" s="9" t="s">
        <v>124</v>
      </c>
      <c r="K3" s="2" t="s">
        <v>70</v>
      </c>
      <c r="L3" s="2" t="s">
        <v>290</v>
      </c>
      <c r="M3" s="27" t="s">
        <v>291</v>
      </c>
    </row>
    <row r="4" spans="1:13">
      <c r="A4" s="6" t="s">
        <v>292</v>
      </c>
      <c r="B4" s="7" t="s">
        <v>287</v>
      </c>
      <c r="C4" s="57" t="s">
        <v>293</v>
      </c>
      <c r="D4" s="82">
        <f>'Invoer | Kosten'!C8</f>
        <v>30</v>
      </c>
      <c r="E4" s="34">
        <v>4</v>
      </c>
      <c r="F4" s="326" t="s">
        <v>294</v>
      </c>
      <c r="G4" s="326"/>
      <c r="H4" s="326"/>
      <c r="J4" s="21" t="s">
        <v>154</v>
      </c>
      <c r="K4" s="28" t="s">
        <v>131</v>
      </c>
      <c r="L4" s="28" t="s">
        <v>295</v>
      </c>
      <c r="M4" s="29" t="s">
        <v>230</v>
      </c>
    </row>
    <row r="5" spans="1:13">
      <c r="A5" s="6" t="s">
        <v>296</v>
      </c>
      <c r="B5" s="7" t="s">
        <v>287</v>
      </c>
      <c r="C5" s="234" t="s">
        <v>288</v>
      </c>
      <c r="D5" s="82">
        <v>800</v>
      </c>
      <c r="E5" s="34">
        <v>1</v>
      </c>
      <c r="F5" s="326" t="s">
        <v>297</v>
      </c>
      <c r="G5" s="326"/>
      <c r="H5" s="326"/>
    </row>
    <row r="6" spans="1:13">
      <c r="A6" s="6" t="s">
        <v>140</v>
      </c>
      <c r="B6" s="7" t="s">
        <v>287</v>
      </c>
      <c r="C6" s="234" t="s">
        <v>288</v>
      </c>
      <c r="D6" s="82">
        <v>450</v>
      </c>
      <c r="E6" s="34">
        <v>1</v>
      </c>
      <c r="F6" s="326" t="s">
        <v>298</v>
      </c>
      <c r="G6" s="326"/>
      <c r="H6" s="326"/>
    </row>
    <row r="7" spans="1:13">
      <c r="A7" s="6" t="s">
        <v>299</v>
      </c>
      <c r="B7" s="7" t="s">
        <v>300</v>
      </c>
      <c r="C7" s="57" t="s">
        <v>293</v>
      </c>
      <c r="D7" s="82">
        <f>'Invoer | Kosten'!C8</f>
        <v>30</v>
      </c>
      <c r="E7" s="34">
        <v>12</v>
      </c>
      <c r="F7" s="138" t="s">
        <v>301</v>
      </c>
      <c r="G7" s="138"/>
      <c r="H7" s="78"/>
    </row>
    <row r="8" spans="1:13">
      <c r="A8" s="73" t="s">
        <v>144</v>
      </c>
      <c r="B8" s="34" t="s">
        <v>302</v>
      </c>
      <c r="C8" s="234" t="s">
        <v>293</v>
      </c>
      <c r="D8" s="82" t="s">
        <v>303</v>
      </c>
      <c r="E8" s="34">
        <v>6</v>
      </c>
      <c r="F8" s="326" t="s">
        <v>304</v>
      </c>
      <c r="G8" s="326"/>
      <c r="H8" s="326"/>
    </row>
    <row r="9" spans="1:13">
      <c r="A9" s="70" t="s">
        <v>146</v>
      </c>
      <c r="B9" s="71" t="s">
        <v>302</v>
      </c>
      <c r="C9" s="235" t="s">
        <v>293</v>
      </c>
      <c r="D9" s="84" t="s">
        <v>303</v>
      </c>
      <c r="E9" s="71">
        <v>8</v>
      </c>
      <c r="F9" s="319" t="s">
        <v>304</v>
      </c>
      <c r="G9" s="319"/>
      <c r="H9" s="320"/>
    </row>
    <row r="11" spans="1:13">
      <c r="A11" s="4" t="s">
        <v>305</v>
      </c>
      <c r="B11" s="5" t="s">
        <v>280</v>
      </c>
      <c r="C11" s="5" t="s">
        <v>281</v>
      </c>
      <c r="D11" s="5" t="s">
        <v>282</v>
      </c>
      <c r="E11" s="323" t="s">
        <v>306</v>
      </c>
      <c r="F11" s="323"/>
      <c r="G11" s="329" t="s">
        <v>307</v>
      </c>
      <c r="H11" s="329" t="s">
        <v>283</v>
      </c>
      <c r="I11" s="329"/>
      <c r="J11" s="330"/>
    </row>
    <row r="12" spans="1:13">
      <c r="A12" s="8"/>
      <c r="B12" s="128"/>
      <c r="C12" s="128"/>
      <c r="D12" s="128"/>
      <c r="E12" s="128" t="s">
        <v>127</v>
      </c>
      <c r="F12" s="128" t="s">
        <v>129</v>
      </c>
      <c r="G12" s="339"/>
      <c r="H12" s="339"/>
      <c r="I12" s="339"/>
      <c r="J12" s="340"/>
    </row>
    <row r="13" spans="1:13">
      <c r="A13" s="9" t="s">
        <v>308</v>
      </c>
      <c r="B13" s="10" t="s">
        <v>309</v>
      </c>
      <c r="C13" s="34" t="s">
        <v>310</v>
      </c>
      <c r="D13" s="82">
        <v>2.4</v>
      </c>
      <c r="E13" s="34">
        <v>400</v>
      </c>
      <c r="F13" s="34">
        <v>300</v>
      </c>
      <c r="H13" s="325" t="s">
        <v>311</v>
      </c>
      <c r="I13" s="325"/>
      <c r="J13" s="130" t="s">
        <v>312</v>
      </c>
    </row>
    <row r="14" spans="1:13">
      <c r="A14" s="9" t="s">
        <v>313</v>
      </c>
      <c r="B14" s="10" t="s">
        <v>314</v>
      </c>
      <c r="C14" s="34" t="s">
        <v>310</v>
      </c>
      <c r="D14" s="82">
        <v>1.5</v>
      </c>
      <c r="E14" s="34">
        <v>400</v>
      </c>
      <c r="F14" s="34">
        <v>300</v>
      </c>
      <c r="H14" s="325" t="s">
        <v>315</v>
      </c>
      <c r="I14" s="325"/>
      <c r="J14" s="106" t="s">
        <v>316</v>
      </c>
    </row>
    <row r="15" spans="1:13">
      <c r="A15" s="73" t="s">
        <v>317</v>
      </c>
      <c r="B15" s="34" t="s">
        <v>302</v>
      </c>
      <c r="C15" s="34" t="s">
        <v>318</v>
      </c>
      <c r="D15" s="82">
        <v>0.1</v>
      </c>
      <c r="E15" s="83">
        <v>600</v>
      </c>
      <c r="F15" s="83">
        <v>600</v>
      </c>
      <c r="G15" s="34">
        <f>ROUNDUP(E15/$E$13*10,0)</f>
        <v>15</v>
      </c>
      <c r="H15" s="325" t="s">
        <v>319</v>
      </c>
      <c r="I15" s="325"/>
      <c r="J15" s="130" t="s">
        <v>320</v>
      </c>
    </row>
    <row r="16" spans="1:13">
      <c r="A16" s="73" t="s">
        <v>321</v>
      </c>
      <c r="B16" s="34" t="s">
        <v>302</v>
      </c>
      <c r="C16" s="34" t="s">
        <v>310</v>
      </c>
      <c r="D16" s="82">
        <v>3.2</v>
      </c>
      <c r="E16" s="83">
        <v>40</v>
      </c>
      <c r="F16" s="83">
        <v>20</v>
      </c>
      <c r="G16" s="129">
        <f>ROUNDUP(E16/$E$13*10,0)</f>
        <v>1</v>
      </c>
      <c r="H16" s="343" t="s">
        <v>322</v>
      </c>
      <c r="I16" s="343"/>
      <c r="J16" s="130"/>
    </row>
    <row r="17" spans="1:15">
      <c r="A17" s="6" t="s">
        <v>323</v>
      </c>
      <c r="B17" s="7" t="s">
        <v>287</v>
      </c>
      <c r="C17" s="34" t="s">
        <v>310</v>
      </c>
      <c r="D17" s="82">
        <v>6.5</v>
      </c>
      <c r="E17" s="83">
        <v>400</v>
      </c>
      <c r="F17" s="83">
        <v>300</v>
      </c>
      <c r="G17" s="34">
        <f>ROUNDUP(E17/$E$13*10,0)</f>
        <v>10</v>
      </c>
      <c r="H17" s="325" t="s">
        <v>287</v>
      </c>
      <c r="I17" s="325"/>
      <c r="J17" s="133" t="s">
        <v>324</v>
      </c>
      <c r="K17" s="134" t="s">
        <v>325</v>
      </c>
    </row>
    <row r="18" spans="1:15">
      <c r="A18" s="6" t="s">
        <v>326</v>
      </c>
      <c r="B18" s="7" t="s">
        <v>287</v>
      </c>
      <c r="C18" s="34" t="s">
        <v>310</v>
      </c>
      <c r="D18" s="82">
        <v>255</v>
      </c>
      <c r="E18" s="34">
        <v>0.5</v>
      </c>
      <c r="F18" s="34">
        <v>0.5</v>
      </c>
      <c r="G18" s="34" t="s">
        <v>151</v>
      </c>
      <c r="H18" s="325" t="s">
        <v>327</v>
      </c>
      <c r="I18" s="325"/>
      <c r="J18" s="130" t="s">
        <v>328</v>
      </c>
      <c r="K18" s="135" t="s">
        <v>325</v>
      </c>
    </row>
    <row r="19" spans="1:15">
      <c r="A19" s="6" t="s">
        <v>329</v>
      </c>
      <c r="B19" s="7" t="s">
        <v>287</v>
      </c>
      <c r="C19" s="34" t="s">
        <v>160</v>
      </c>
      <c r="D19" s="82">
        <v>30</v>
      </c>
      <c r="E19" s="34">
        <v>0.5</v>
      </c>
      <c r="F19" s="34">
        <v>0.5</v>
      </c>
      <c r="G19" s="34" t="s">
        <v>151</v>
      </c>
      <c r="H19" s="341" t="s">
        <v>330</v>
      </c>
      <c r="I19" s="341"/>
      <c r="J19" s="130" t="s">
        <v>331</v>
      </c>
      <c r="K19" s="134" t="s">
        <v>325</v>
      </c>
    </row>
    <row r="20" spans="1:15">
      <c r="A20" s="11" t="s">
        <v>332</v>
      </c>
      <c r="B20" s="12" t="s">
        <v>287</v>
      </c>
      <c r="C20" s="71" t="s">
        <v>160</v>
      </c>
      <c r="D20" s="84"/>
      <c r="E20" s="71"/>
      <c r="F20" s="71"/>
      <c r="G20" s="71"/>
      <c r="H20" s="319" t="s">
        <v>251</v>
      </c>
      <c r="I20" s="319"/>
      <c r="J20" s="72"/>
    </row>
    <row r="22" spans="1:15">
      <c r="A22" s="4" t="s">
        <v>333</v>
      </c>
      <c r="B22" s="5"/>
      <c r="C22" s="342" t="s">
        <v>334</v>
      </c>
      <c r="D22" s="342"/>
      <c r="E22" s="323" t="s">
        <v>335</v>
      </c>
      <c r="F22" s="323"/>
      <c r="G22" s="329" t="s">
        <v>336</v>
      </c>
      <c r="H22" s="5"/>
      <c r="I22" s="329" t="s">
        <v>337</v>
      </c>
      <c r="J22" s="94"/>
      <c r="K22" s="332"/>
      <c r="L22" s="332"/>
      <c r="M22" s="333"/>
    </row>
    <row r="23" spans="1:15">
      <c r="A23" s="8"/>
      <c r="B23" s="128" t="s">
        <v>280</v>
      </c>
      <c r="C23" s="131" t="s">
        <v>127</v>
      </c>
      <c r="D23" s="128" t="s">
        <v>129</v>
      </c>
      <c r="E23" s="131" t="s">
        <v>127</v>
      </c>
      <c r="F23" s="128" t="s">
        <v>129</v>
      </c>
      <c r="G23" s="339"/>
      <c r="H23" s="128" t="s">
        <v>338</v>
      </c>
      <c r="I23" s="339"/>
      <c r="J23" s="128" t="s">
        <v>339</v>
      </c>
      <c r="K23" s="331" t="s">
        <v>283</v>
      </c>
      <c r="L23" s="331"/>
      <c r="M23" s="331"/>
    </row>
    <row r="24" spans="1:15">
      <c r="A24" s="13" t="s">
        <v>340</v>
      </c>
      <c r="B24" s="14" t="s">
        <v>287</v>
      </c>
      <c r="C24" s="34">
        <v>1</v>
      </c>
      <c r="D24" s="83">
        <v>1</v>
      </c>
      <c r="E24" s="34" t="s">
        <v>151</v>
      </c>
      <c r="F24" s="34" t="s">
        <v>151</v>
      </c>
      <c r="G24" s="34" t="s">
        <v>151</v>
      </c>
      <c r="H24" s="34" t="s">
        <v>151</v>
      </c>
      <c r="I24" s="34" t="s">
        <v>151</v>
      </c>
      <c r="J24" s="34" t="s">
        <v>293</v>
      </c>
      <c r="K24" s="326" t="s">
        <v>341</v>
      </c>
      <c r="L24" s="326"/>
      <c r="M24" s="326"/>
    </row>
    <row r="25" spans="1:15">
      <c r="A25" s="13" t="s">
        <v>342</v>
      </c>
      <c r="B25" s="14" t="s">
        <v>287</v>
      </c>
      <c r="C25" s="34">
        <v>4</v>
      </c>
      <c r="D25" s="83">
        <v>4</v>
      </c>
      <c r="E25" s="34" t="s">
        <v>151</v>
      </c>
      <c r="F25" s="129" t="s">
        <v>151</v>
      </c>
      <c r="G25" s="129" t="s">
        <v>151</v>
      </c>
      <c r="H25" s="34" t="s">
        <v>151</v>
      </c>
      <c r="I25" s="34" t="s">
        <v>151</v>
      </c>
      <c r="J25" s="34" t="s">
        <v>293</v>
      </c>
      <c r="K25" s="326" t="s">
        <v>341</v>
      </c>
      <c r="L25" s="326"/>
      <c r="M25" s="326"/>
    </row>
    <row r="26" spans="1:15">
      <c r="A26" s="13" t="s">
        <v>172</v>
      </c>
      <c r="B26" s="14" t="s">
        <v>287</v>
      </c>
      <c r="C26" s="34">
        <v>4</v>
      </c>
      <c r="D26" s="83">
        <v>4</v>
      </c>
      <c r="E26" s="34" t="s">
        <v>151</v>
      </c>
      <c r="F26" s="129" t="s">
        <v>151</v>
      </c>
      <c r="G26" s="129" t="s">
        <v>151</v>
      </c>
      <c r="H26" s="34" t="s">
        <v>151</v>
      </c>
      <c r="I26" s="34" t="s">
        <v>151</v>
      </c>
      <c r="J26" s="34" t="s">
        <v>293</v>
      </c>
      <c r="K26" s="326" t="s">
        <v>341</v>
      </c>
      <c r="L26" s="326"/>
      <c r="M26" s="326"/>
    </row>
    <row r="27" spans="1:15">
      <c r="A27" s="15" t="s">
        <v>343</v>
      </c>
      <c r="B27" s="16" t="s">
        <v>309</v>
      </c>
      <c r="C27" s="34">
        <f>ROUNDUP(100/(E27/5.5),0)</f>
        <v>3</v>
      </c>
      <c r="D27" s="34">
        <f>ROUNDUP(100/(F27/5.5),0)</f>
        <v>3</v>
      </c>
      <c r="E27" s="34">
        <f>ROUND(E28*1.8,-1)</f>
        <v>220</v>
      </c>
      <c r="F27" s="34">
        <f>ROUND(F28*1.8,-1)</f>
        <v>270</v>
      </c>
      <c r="G27" s="34">
        <f>E27*$E$13/100</f>
        <v>880</v>
      </c>
      <c r="H27" s="34">
        <v>30</v>
      </c>
      <c r="I27" s="34">
        <v>1</v>
      </c>
      <c r="J27" s="34" t="s">
        <v>344</v>
      </c>
      <c r="K27" s="328" t="s">
        <v>345</v>
      </c>
      <c r="L27" s="328"/>
      <c r="M27" s="328"/>
    </row>
    <row r="28" spans="1:15">
      <c r="A28" s="15" t="s">
        <v>176</v>
      </c>
      <c r="B28" s="16" t="s">
        <v>314</v>
      </c>
      <c r="C28" s="34">
        <f>ROUNDUP(100/(E28/5.5),0)</f>
        <v>5</v>
      </c>
      <c r="D28" s="34">
        <f>ROUNDUP(100/(F28/5.5),0)</f>
        <v>4</v>
      </c>
      <c r="E28" s="129">
        <f>ROUNDUP(G28/E13,1)*100</f>
        <v>120.00000000000001</v>
      </c>
      <c r="F28" s="129">
        <f>ROUNDUP(G28/F13,1)*100</f>
        <v>150</v>
      </c>
      <c r="G28" s="34">
        <f>550/5.5*4.5</f>
        <v>450</v>
      </c>
      <c r="H28" s="34">
        <v>15</v>
      </c>
      <c r="I28" s="34">
        <v>0</v>
      </c>
      <c r="J28" s="34" t="s">
        <v>344</v>
      </c>
      <c r="K28" s="326" t="s">
        <v>346</v>
      </c>
      <c r="L28" s="326"/>
      <c r="M28" s="326"/>
      <c r="N28" s="134"/>
    </row>
    <row r="29" spans="1:15">
      <c r="A29" s="17" t="s">
        <v>347</v>
      </c>
      <c r="B29" s="18" t="s">
        <v>348</v>
      </c>
      <c r="C29" s="71">
        <v>3</v>
      </c>
      <c r="D29" s="242">
        <v>2</v>
      </c>
      <c r="E29" s="71">
        <f>E33/C29*100</f>
        <v>250</v>
      </c>
      <c r="F29" s="81">
        <f>E33/D29*100</f>
        <v>375</v>
      </c>
      <c r="G29" s="71">
        <f>E29*$E$13/100</f>
        <v>1000</v>
      </c>
      <c r="H29" s="71">
        <v>1</v>
      </c>
      <c r="I29" s="71">
        <v>0</v>
      </c>
      <c r="J29" s="71" t="s">
        <v>293</v>
      </c>
      <c r="K29" s="319" t="s">
        <v>349</v>
      </c>
      <c r="L29" s="319"/>
      <c r="M29" s="320"/>
    </row>
    <row r="31" spans="1:15">
      <c r="A31" s="4"/>
      <c r="B31" s="5"/>
      <c r="C31" s="5"/>
      <c r="D31" s="5"/>
      <c r="E31" s="5"/>
      <c r="F31" s="329" t="s">
        <v>350</v>
      </c>
      <c r="G31" s="329"/>
      <c r="H31" s="329" t="s">
        <v>351</v>
      </c>
      <c r="I31" s="329"/>
      <c r="J31" s="88"/>
      <c r="K31" s="5"/>
      <c r="L31" s="117"/>
      <c r="M31" s="336"/>
      <c r="N31" s="336"/>
      <c r="O31" s="337"/>
    </row>
    <row r="32" spans="1:15" ht="36.75" customHeight="1">
      <c r="A32" s="8" t="s">
        <v>352</v>
      </c>
      <c r="B32" s="128"/>
      <c r="C32" s="128" t="s">
        <v>281</v>
      </c>
      <c r="D32" s="128" t="s">
        <v>282</v>
      </c>
      <c r="E32" s="128" t="s">
        <v>353</v>
      </c>
      <c r="F32" s="127" t="s">
        <v>354</v>
      </c>
      <c r="G32" s="127" t="s">
        <v>355</v>
      </c>
      <c r="H32" s="127" t="s">
        <v>356</v>
      </c>
      <c r="I32" s="127" t="s">
        <v>357</v>
      </c>
      <c r="J32" s="127" t="s">
        <v>358</v>
      </c>
      <c r="K32" s="128" t="s">
        <v>47</v>
      </c>
      <c r="L32" s="131" t="s">
        <v>359</v>
      </c>
      <c r="M32" s="334" t="s">
        <v>360</v>
      </c>
      <c r="N32" s="334"/>
      <c r="O32" s="335"/>
    </row>
    <row r="33" spans="1:17">
      <c r="A33" s="9" t="s">
        <v>145</v>
      </c>
      <c r="B33" s="10" t="s">
        <v>309</v>
      </c>
      <c r="C33" s="34" t="s">
        <v>293</v>
      </c>
      <c r="D33" s="50">
        <f>'Invoer | Kosten'!C8</f>
        <v>30</v>
      </c>
      <c r="E33" s="34">
        <v>7.5</v>
      </c>
      <c r="F33" s="34">
        <v>0</v>
      </c>
      <c r="G33" s="34">
        <v>0.5</v>
      </c>
      <c r="H33" s="34">
        <v>0</v>
      </c>
      <c r="I33" s="34">
        <v>0</v>
      </c>
      <c r="J33" s="34">
        <v>0</v>
      </c>
      <c r="K33" s="34" t="s">
        <v>361</v>
      </c>
      <c r="L33" s="34"/>
      <c r="M33" s="325"/>
      <c r="N33" s="325"/>
      <c r="O33" s="326"/>
    </row>
    <row r="34" spans="1:17">
      <c r="A34" s="9" t="s">
        <v>171</v>
      </c>
      <c r="B34" s="10" t="s">
        <v>314</v>
      </c>
      <c r="C34" s="34" t="s">
        <v>293</v>
      </c>
      <c r="D34" s="50">
        <v>70</v>
      </c>
      <c r="E34" s="34">
        <v>7.5</v>
      </c>
      <c r="F34" s="34">
        <v>0</v>
      </c>
      <c r="G34" s="34">
        <v>0.5</v>
      </c>
      <c r="H34" s="34">
        <v>0</v>
      </c>
      <c r="I34" s="34">
        <v>0</v>
      </c>
      <c r="J34" s="34">
        <v>0</v>
      </c>
      <c r="K34" s="34" t="s">
        <v>361</v>
      </c>
      <c r="L34" s="34"/>
      <c r="M34" s="325"/>
      <c r="N34" s="325"/>
      <c r="O34" s="326"/>
    </row>
    <row r="35" spans="1:17">
      <c r="A35" s="9" t="s">
        <v>362</v>
      </c>
      <c r="B35" s="10" t="s">
        <v>348</v>
      </c>
      <c r="C35" s="34" t="s">
        <v>293</v>
      </c>
      <c r="D35" s="50">
        <v>100</v>
      </c>
      <c r="E35" s="34">
        <v>7.5</v>
      </c>
      <c r="F35" s="34">
        <v>0</v>
      </c>
      <c r="G35" s="34">
        <v>0.5</v>
      </c>
      <c r="H35" s="34">
        <v>0</v>
      </c>
      <c r="I35" s="34">
        <v>0</v>
      </c>
      <c r="J35" s="34">
        <v>0</v>
      </c>
      <c r="K35" s="34" t="s">
        <v>361</v>
      </c>
      <c r="L35" s="34"/>
      <c r="M35" s="325"/>
      <c r="N35" s="325"/>
      <c r="O35" s="326"/>
    </row>
    <row r="36" spans="1:17">
      <c r="A36" s="9" t="s">
        <v>177</v>
      </c>
      <c r="B36" s="10" t="s">
        <v>309</v>
      </c>
      <c r="C36" s="34" t="s">
        <v>293</v>
      </c>
      <c r="D36" s="50">
        <v>30</v>
      </c>
      <c r="E36" s="34">
        <v>5.5</v>
      </c>
      <c r="F36" s="34">
        <f>4+4</f>
        <v>8</v>
      </c>
      <c r="G36" s="34">
        <f>4+4+2.5</f>
        <v>10.5</v>
      </c>
      <c r="H36" s="34">
        <f>2+2</f>
        <v>4</v>
      </c>
      <c r="I36" s="34">
        <f>2+4+2.5</f>
        <v>8.5</v>
      </c>
      <c r="J36" s="34">
        <v>8</v>
      </c>
      <c r="K36" s="34" t="s">
        <v>363</v>
      </c>
      <c r="L36" s="34" t="s">
        <v>364</v>
      </c>
      <c r="M36" s="325"/>
      <c r="N36" s="325"/>
      <c r="O36" s="326"/>
    </row>
    <row r="37" spans="1:17">
      <c r="A37" s="9" t="s">
        <v>365</v>
      </c>
      <c r="B37" s="10" t="s">
        <v>314</v>
      </c>
      <c r="C37" s="34" t="s">
        <v>344</v>
      </c>
      <c r="D37" s="50">
        <f>1500/SUM(E37)</f>
        <v>375</v>
      </c>
      <c r="E37" s="34">
        <v>4</v>
      </c>
      <c r="F37" s="34">
        <v>0</v>
      </c>
      <c r="G37" s="34">
        <v>0</v>
      </c>
      <c r="H37" s="34">
        <v>0</v>
      </c>
      <c r="I37" s="34">
        <v>0</v>
      </c>
      <c r="J37" s="34">
        <v>0</v>
      </c>
      <c r="K37" s="34" t="s">
        <v>363</v>
      </c>
      <c r="L37" s="34" t="s">
        <v>366</v>
      </c>
      <c r="M37" s="325" t="s">
        <v>367</v>
      </c>
      <c r="N37" s="325"/>
      <c r="O37" s="326"/>
    </row>
    <row r="38" spans="1:17">
      <c r="A38" s="21" t="s">
        <v>368</v>
      </c>
      <c r="B38" s="22" t="s">
        <v>348</v>
      </c>
      <c r="C38" s="71" t="s">
        <v>344</v>
      </c>
      <c r="D38" s="71" t="s">
        <v>251</v>
      </c>
      <c r="E38" s="71">
        <v>6</v>
      </c>
      <c r="F38" s="71">
        <v>0</v>
      </c>
      <c r="G38" s="71">
        <v>0</v>
      </c>
      <c r="H38" s="71">
        <v>0</v>
      </c>
      <c r="I38" s="71">
        <v>0</v>
      </c>
      <c r="J38" s="71">
        <v>0</v>
      </c>
      <c r="K38" s="71" t="s">
        <v>363</v>
      </c>
      <c r="L38" s="71" t="s">
        <v>366</v>
      </c>
      <c r="M38" s="319"/>
      <c r="N38" s="319"/>
      <c r="O38" s="320"/>
    </row>
    <row r="40" spans="1:17">
      <c r="A40" s="20" t="s">
        <v>369</v>
      </c>
      <c r="B40" s="5" t="s">
        <v>280</v>
      </c>
      <c r="C40" s="5" t="s">
        <v>281</v>
      </c>
      <c r="D40" s="5" t="s">
        <v>282</v>
      </c>
      <c r="E40" s="19" t="s">
        <v>360</v>
      </c>
      <c r="F40" s="35"/>
    </row>
    <row r="41" spans="1:17">
      <c r="A41" s="9" t="s">
        <v>181</v>
      </c>
      <c r="B41" s="10" t="s">
        <v>309</v>
      </c>
      <c r="C41" s="34" t="s">
        <v>149</v>
      </c>
      <c r="D41" s="77">
        <v>15</v>
      </c>
      <c r="E41" s="78" t="s">
        <v>370</v>
      </c>
      <c r="F41" s="35"/>
    </row>
    <row r="42" spans="1:17">
      <c r="A42" s="21" t="s">
        <v>371</v>
      </c>
      <c r="B42" s="22" t="s">
        <v>314</v>
      </c>
      <c r="C42" s="71" t="s">
        <v>149</v>
      </c>
      <c r="D42" s="79">
        <v>0</v>
      </c>
      <c r="E42" s="80"/>
      <c r="F42" s="35"/>
    </row>
    <row r="44" spans="1:17" ht="49.5">
      <c r="A44" s="4" t="s">
        <v>372</v>
      </c>
      <c r="B44" s="5" t="s">
        <v>280</v>
      </c>
      <c r="C44" s="5" t="s">
        <v>281</v>
      </c>
      <c r="D44" s="88" t="s">
        <v>373</v>
      </c>
      <c r="E44" s="5" t="s">
        <v>374</v>
      </c>
      <c r="F44" s="132" t="s">
        <v>375</v>
      </c>
      <c r="G44" s="132" t="s">
        <v>376</v>
      </c>
      <c r="H44" s="132" t="s">
        <v>377</v>
      </c>
      <c r="I44" s="132" t="s">
        <v>378</v>
      </c>
      <c r="J44" s="132" t="s">
        <v>379</v>
      </c>
      <c r="K44" s="132" t="s">
        <v>380</v>
      </c>
      <c r="L44" s="132" t="s">
        <v>381</v>
      </c>
      <c r="M44" s="132" t="s">
        <v>382</v>
      </c>
      <c r="N44" s="132" t="s">
        <v>383</v>
      </c>
      <c r="O44" s="132" t="s">
        <v>384</v>
      </c>
      <c r="P44" s="73"/>
    </row>
    <row r="45" spans="1:17">
      <c r="A45" s="73" t="s">
        <v>385</v>
      </c>
      <c r="B45" s="35"/>
      <c r="C45" s="34" t="s">
        <v>386</v>
      </c>
      <c r="F45" s="35">
        <v>1.5</v>
      </c>
      <c r="G45" s="105">
        <v>1.5</v>
      </c>
      <c r="H45" s="35">
        <v>1.5</v>
      </c>
      <c r="I45" s="105">
        <v>1.5</v>
      </c>
      <c r="J45" s="35">
        <v>2</v>
      </c>
      <c r="K45" s="35">
        <v>2</v>
      </c>
      <c r="L45" s="35">
        <v>2</v>
      </c>
      <c r="M45" s="35">
        <v>2</v>
      </c>
      <c r="N45" s="35">
        <v>2</v>
      </c>
      <c r="O45" s="35">
        <v>2.5</v>
      </c>
      <c r="P45" s="243"/>
    </row>
    <row r="46" spans="1:17">
      <c r="A46" s="73" t="s">
        <v>193</v>
      </c>
      <c r="B46" s="35"/>
      <c r="C46" s="34" t="s">
        <v>387</v>
      </c>
      <c r="F46" s="42">
        <v>17.099999999999998</v>
      </c>
      <c r="G46" s="75">
        <v>17.099999999999998</v>
      </c>
      <c r="H46" s="42">
        <v>17.099999999999998</v>
      </c>
      <c r="I46" s="75">
        <v>22.8</v>
      </c>
      <c r="J46" s="42">
        <v>22.8</v>
      </c>
      <c r="K46" s="42">
        <v>22.8</v>
      </c>
      <c r="L46" s="42">
        <v>22.8</v>
      </c>
      <c r="M46" s="42">
        <v>22.8</v>
      </c>
      <c r="N46" s="42">
        <v>22.8</v>
      </c>
      <c r="O46" s="42">
        <v>28.5</v>
      </c>
      <c r="P46" s="73"/>
    </row>
    <row r="47" spans="1:17">
      <c r="A47" s="73" t="s">
        <v>388</v>
      </c>
      <c r="B47" s="34" t="s">
        <v>309</v>
      </c>
      <c r="C47" s="34" t="s">
        <v>387</v>
      </c>
      <c r="D47" s="34">
        <f>0.8*100</f>
        <v>80</v>
      </c>
      <c r="E47" s="50">
        <v>0.57999999999999996</v>
      </c>
      <c r="F47" s="42">
        <f t="shared" ref="F47:O48" si="0">$D47*$E47*F$45</f>
        <v>69.599999999999994</v>
      </c>
      <c r="G47" s="42">
        <f t="shared" si="0"/>
        <v>69.599999999999994</v>
      </c>
      <c r="H47" s="42">
        <f t="shared" si="0"/>
        <v>69.599999999999994</v>
      </c>
      <c r="I47" s="42">
        <f t="shared" si="0"/>
        <v>69.599999999999994</v>
      </c>
      <c r="J47" s="42">
        <f t="shared" si="0"/>
        <v>92.8</v>
      </c>
      <c r="K47" s="42">
        <f t="shared" si="0"/>
        <v>92.8</v>
      </c>
      <c r="L47" s="42">
        <f t="shared" si="0"/>
        <v>92.8</v>
      </c>
      <c r="M47" s="42">
        <f t="shared" si="0"/>
        <v>92.8</v>
      </c>
      <c r="N47" s="42">
        <f t="shared" si="0"/>
        <v>92.8</v>
      </c>
      <c r="O47" s="42">
        <f t="shared" si="0"/>
        <v>116</v>
      </c>
      <c r="P47" s="73"/>
      <c r="Q47" s="134" t="s">
        <v>325</v>
      </c>
    </row>
    <row r="48" spans="1:17">
      <c r="A48" s="73" t="s">
        <v>389</v>
      </c>
      <c r="B48" s="34" t="s">
        <v>314</v>
      </c>
      <c r="C48" s="34" t="s">
        <v>387</v>
      </c>
      <c r="D48" s="34">
        <v>100</v>
      </c>
      <c r="E48" s="50">
        <v>0.3</v>
      </c>
      <c r="F48" s="42">
        <f t="shared" si="0"/>
        <v>45</v>
      </c>
      <c r="G48" s="42">
        <f t="shared" si="0"/>
        <v>45</v>
      </c>
      <c r="H48" s="42">
        <f t="shared" si="0"/>
        <v>45</v>
      </c>
      <c r="I48" s="42">
        <f t="shared" si="0"/>
        <v>45</v>
      </c>
      <c r="J48" s="42">
        <f t="shared" si="0"/>
        <v>60</v>
      </c>
      <c r="K48" s="42">
        <f t="shared" si="0"/>
        <v>60</v>
      </c>
      <c r="L48" s="42">
        <f t="shared" si="0"/>
        <v>60</v>
      </c>
      <c r="M48" s="42">
        <f t="shared" si="0"/>
        <v>60</v>
      </c>
      <c r="N48" s="42">
        <f t="shared" si="0"/>
        <v>60</v>
      </c>
      <c r="O48" s="42">
        <f t="shared" si="0"/>
        <v>75</v>
      </c>
      <c r="P48" s="73"/>
    </row>
    <row r="49" spans="1:17">
      <c r="A49" s="70" t="s">
        <v>390</v>
      </c>
      <c r="B49" s="37"/>
      <c r="C49" s="71" t="s">
        <v>391</v>
      </c>
      <c r="D49" s="71"/>
      <c r="E49" s="71"/>
      <c r="F49" s="76">
        <v>2.2999999999999998</v>
      </c>
      <c r="G49" s="76">
        <v>2.2999999999999998</v>
      </c>
      <c r="H49" s="76">
        <v>2.2999999999999998</v>
      </c>
      <c r="I49" s="76">
        <v>2.2999999999999998</v>
      </c>
      <c r="J49" s="76">
        <v>2.2999999999999998</v>
      </c>
      <c r="K49" s="76">
        <v>2.2999999999999998</v>
      </c>
      <c r="L49" s="76">
        <v>2.2999999999999998</v>
      </c>
      <c r="M49" s="76">
        <v>2.2999999999999998</v>
      </c>
      <c r="N49" s="76">
        <v>2.2999999999999998</v>
      </c>
      <c r="O49" s="76">
        <v>2.2999999999999998</v>
      </c>
      <c r="P49" s="243"/>
    </row>
    <row r="50" spans="1:17">
      <c r="B50" s="35"/>
      <c r="D50" s="35"/>
      <c r="E50" s="35"/>
      <c r="F50" s="35"/>
      <c r="G50" s="35"/>
    </row>
    <row r="51" spans="1:17" ht="33">
      <c r="A51" s="32" t="s">
        <v>392</v>
      </c>
      <c r="B51" s="33" t="s">
        <v>280</v>
      </c>
      <c r="C51" s="88" t="s">
        <v>281</v>
      </c>
      <c r="D51" s="33" t="s">
        <v>393</v>
      </c>
      <c r="E51" s="33" t="s">
        <v>394</v>
      </c>
      <c r="F51" s="88" t="s">
        <v>395</v>
      </c>
      <c r="G51" s="88" t="s">
        <v>338</v>
      </c>
      <c r="H51" s="88" t="s">
        <v>396</v>
      </c>
      <c r="I51" s="88" t="s">
        <v>339</v>
      </c>
      <c r="J51" s="323" t="s">
        <v>283</v>
      </c>
      <c r="K51" s="323"/>
      <c r="L51" s="324"/>
      <c r="M51" s="74"/>
      <c r="N51" s="74"/>
      <c r="O51" s="74"/>
      <c r="P51" s="74"/>
      <c r="Q51" s="74"/>
    </row>
    <row r="52" spans="1:17" s="74" customFormat="1">
      <c r="A52" s="9" t="s">
        <v>397</v>
      </c>
      <c r="B52" s="10" t="s">
        <v>309</v>
      </c>
      <c r="C52" s="34" t="s">
        <v>334</v>
      </c>
      <c r="D52" s="34">
        <v>10</v>
      </c>
      <c r="E52" s="34">
        <v>0.3</v>
      </c>
      <c r="F52" s="50" t="s">
        <v>151</v>
      </c>
      <c r="G52" s="34">
        <v>30</v>
      </c>
      <c r="H52" s="34">
        <v>1</v>
      </c>
      <c r="I52" s="34" t="s">
        <v>344</v>
      </c>
      <c r="J52" s="325" t="s">
        <v>398</v>
      </c>
      <c r="K52" s="325"/>
      <c r="L52" s="326"/>
      <c r="M52" s="35"/>
      <c r="N52" s="35"/>
      <c r="O52" s="35"/>
      <c r="P52" s="35"/>
      <c r="Q52" s="35"/>
    </row>
    <row r="53" spans="1:17">
      <c r="A53" s="9" t="s">
        <v>204</v>
      </c>
      <c r="B53" s="10" t="s">
        <v>314</v>
      </c>
      <c r="C53" s="34" t="s">
        <v>334</v>
      </c>
      <c r="D53" s="34">
        <v>10</v>
      </c>
      <c r="E53" s="34">
        <v>0.5</v>
      </c>
      <c r="F53" s="50" t="s">
        <v>151</v>
      </c>
      <c r="G53" s="34">
        <v>15</v>
      </c>
      <c r="H53" s="34">
        <v>0</v>
      </c>
      <c r="I53" s="34" t="s">
        <v>344</v>
      </c>
      <c r="J53" s="325" t="s">
        <v>398</v>
      </c>
      <c r="K53" s="325"/>
      <c r="L53" s="326"/>
    </row>
    <row r="54" spans="1:17">
      <c r="A54" s="9" t="s">
        <v>399</v>
      </c>
      <c r="B54" s="10" t="s">
        <v>348</v>
      </c>
      <c r="C54" s="34" t="s">
        <v>151</v>
      </c>
      <c r="D54" s="34">
        <v>10</v>
      </c>
      <c r="E54" s="34" t="s">
        <v>151</v>
      </c>
      <c r="F54" s="50" t="s">
        <v>151</v>
      </c>
      <c r="G54" s="34">
        <v>0</v>
      </c>
      <c r="H54" s="34">
        <v>0</v>
      </c>
      <c r="I54" s="34" t="s">
        <v>151</v>
      </c>
      <c r="J54" s="325"/>
      <c r="K54" s="325"/>
      <c r="L54" s="326"/>
    </row>
    <row r="55" spans="1:17">
      <c r="A55" s="6" t="s">
        <v>211</v>
      </c>
      <c r="B55" s="7" t="s">
        <v>287</v>
      </c>
      <c r="C55" s="34" t="s">
        <v>400</v>
      </c>
      <c r="D55" s="34">
        <v>3</v>
      </c>
      <c r="E55" s="34">
        <f>1+4</f>
        <v>5</v>
      </c>
      <c r="F55" s="42">
        <v>100</v>
      </c>
      <c r="H55" s="34"/>
      <c r="I55" s="34" t="s">
        <v>401</v>
      </c>
      <c r="J55" s="327" t="s">
        <v>402</v>
      </c>
      <c r="K55" s="327"/>
      <c r="L55" s="328"/>
    </row>
    <row r="56" spans="1:17">
      <c r="A56" s="9" t="s">
        <v>403</v>
      </c>
      <c r="B56" s="10" t="s">
        <v>309</v>
      </c>
      <c r="C56" s="34" t="s">
        <v>334</v>
      </c>
      <c r="D56" s="34">
        <v>1</v>
      </c>
      <c r="E56" s="34">
        <v>4</v>
      </c>
      <c r="F56" s="34" t="s">
        <v>151</v>
      </c>
      <c r="G56" s="34">
        <v>30</v>
      </c>
      <c r="H56" s="34">
        <v>1</v>
      </c>
      <c r="I56" s="34" t="s">
        <v>344</v>
      </c>
      <c r="J56" s="325" t="s">
        <v>404</v>
      </c>
      <c r="K56" s="325"/>
      <c r="L56" s="326"/>
    </row>
    <row r="57" spans="1:17">
      <c r="A57" s="9" t="s">
        <v>219</v>
      </c>
      <c r="B57" s="10" t="s">
        <v>314</v>
      </c>
      <c r="C57" s="34" t="s">
        <v>334</v>
      </c>
      <c r="D57" s="34">
        <v>1</v>
      </c>
      <c r="E57" s="34">
        <v>6.5</v>
      </c>
      <c r="F57" s="34" t="s">
        <v>151</v>
      </c>
      <c r="G57" s="34">
        <v>15</v>
      </c>
      <c r="H57" s="34">
        <v>0</v>
      </c>
      <c r="I57" s="34" t="s">
        <v>344</v>
      </c>
      <c r="J57" s="325" t="s">
        <v>404</v>
      </c>
      <c r="K57" s="325"/>
      <c r="L57" s="326"/>
    </row>
    <row r="58" spans="1:17">
      <c r="A58" s="9" t="s">
        <v>405</v>
      </c>
      <c r="B58" s="10" t="s">
        <v>348</v>
      </c>
      <c r="C58" s="34" t="s">
        <v>334</v>
      </c>
      <c r="D58" s="34">
        <v>1</v>
      </c>
      <c r="E58" s="34">
        <v>8</v>
      </c>
      <c r="F58" s="34" t="s">
        <v>151</v>
      </c>
      <c r="G58" s="34">
        <v>0</v>
      </c>
      <c r="H58" s="34">
        <v>0</v>
      </c>
      <c r="I58" s="34" t="s">
        <v>293</v>
      </c>
      <c r="J58" s="325" t="s">
        <v>404</v>
      </c>
      <c r="K58" s="325"/>
      <c r="L58" s="326"/>
    </row>
    <row r="59" spans="1:17">
      <c r="A59" s="70" t="s">
        <v>221</v>
      </c>
      <c r="B59" s="71"/>
      <c r="C59" s="71"/>
      <c r="D59" s="71"/>
      <c r="E59" s="71"/>
      <c r="F59" s="71"/>
      <c r="G59" s="71"/>
      <c r="H59" s="71"/>
      <c r="I59" s="37"/>
      <c r="J59" s="37"/>
      <c r="K59" s="37"/>
      <c r="L59" s="72"/>
    </row>
    <row r="61" spans="1:17" ht="33">
      <c r="A61" s="32" t="s">
        <v>406</v>
      </c>
      <c r="B61" s="33" t="s">
        <v>407</v>
      </c>
      <c r="C61" s="33" t="s">
        <v>280</v>
      </c>
      <c r="D61" s="88" t="s">
        <v>408</v>
      </c>
      <c r="E61" s="88" t="s">
        <v>281</v>
      </c>
      <c r="F61" s="88" t="s">
        <v>409</v>
      </c>
      <c r="G61" s="88" t="s">
        <v>410</v>
      </c>
      <c r="H61" s="88" t="s">
        <v>411</v>
      </c>
      <c r="I61" s="329" t="s">
        <v>360</v>
      </c>
      <c r="J61" s="330"/>
    </row>
    <row r="62" spans="1:17">
      <c r="A62" s="9" t="s">
        <v>242</v>
      </c>
      <c r="B62" s="10" t="s">
        <v>151</v>
      </c>
      <c r="C62" s="10" t="s">
        <v>309</v>
      </c>
      <c r="D62" s="34" t="s">
        <v>412</v>
      </c>
      <c r="E62" s="34" t="s">
        <v>413</v>
      </c>
      <c r="G62" s="34" t="s">
        <v>151</v>
      </c>
      <c r="H62" s="75">
        <v>430</v>
      </c>
      <c r="I62" s="317" t="s">
        <v>414</v>
      </c>
      <c r="J62" s="318"/>
    </row>
    <row r="63" spans="1:17">
      <c r="A63" s="9" t="s">
        <v>415</v>
      </c>
      <c r="B63" s="10" t="s">
        <v>151</v>
      </c>
      <c r="C63" s="10" t="s">
        <v>314</v>
      </c>
      <c r="D63" s="34" t="s">
        <v>412</v>
      </c>
      <c r="E63" s="34" t="s">
        <v>413</v>
      </c>
      <c r="G63" s="34" t="s">
        <v>151</v>
      </c>
      <c r="H63" s="75">
        <v>235</v>
      </c>
      <c r="I63" s="317" t="s">
        <v>414</v>
      </c>
      <c r="J63" s="318"/>
    </row>
    <row r="64" spans="1:17">
      <c r="A64" s="9" t="s">
        <v>416</v>
      </c>
      <c r="B64" s="10" t="s">
        <v>151</v>
      </c>
      <c r="C64" s="10" t="s">
        <v>348</v>
      </c>
      <c r="D64" s="34" t="s">
        <v>412</v>
      </c>
      <c r="E64" s="34" t="s">
        <v>413</v>
      </c>
      <c r="G64" s="34" t="s">
        <v>151</v>
      </c>
      <c r="H64" s="75">
        <v>367.44</v>
      </c>
      <c r="I64" s="317" t="s">
        <v>417</v>
      </c>
      <c r="J64" s="318"/>
    </row>
    <row r="65" spans="1:10">
      <c r="A65" s="9" t="s">
        <v>418</v>
      </c>
      <c r="B65" s="10" t="s">
        <v>151</v>
      </c>
      <c r="C65" s="10" t="s">
        <v>419</v>
      </c>
      <c r="D65" s="34" t="s">
        <v>412</v>
      </c>
      <c r="E65" s="34" t="s">
        <v>413</v>
      </c>
      <c r="G65" s="34" t="s">
        <v>151</v>
      </c>
      <c r="H65" s="75">
        <v>275</v>
      </c>
      <c r="I65" s="317" t="s">
        <v>414</v>
      </c>
      <c r="J65" s="318"/>
    </row>
    <row r="66" spans="1:10">
      <c r="A66" s="9" t="s">
        <v>420</v>
      </c>
      <c r="B66" s="10" t="s">
        <v>151</v>
      </c>
      <c r="C66" s="10" t="s">
        <v>421</v>
      </c>
      <c r="D66" s="34" t="s">
        <v>412</v>
      </c>
      <c r="E66" s="34" t="s">
        <v>413</v>
      </c>
      <c r="G66" s="34" t="s">
        <v>151</v>
      </c>
      <c r="H66" s="75">
        <v>467.01</v>
      </c>
      <c r="I66" s="317" t="s">
        <v>417</v>
      </c>
      <c r="J66" s="318"/>
    </row>
    <row r="67" spans="1:10">
      <c r="A67" s="13" t="s">
        <v>267</v>
      </c>
      <c r="B67" s="14" t="s">
        <v>151</v>
      </c>
      <c r="C67" s="7" t="s">
        <v>287</v>
      </c>
      <c r="D67" s="34" t="s">
        <v>422</v>
      </c>
      <c r="E67" s="34" t="s">
        <v>423</v>
      </c>
      <c r="G67" s="34" t="s">
        <v>151</v>
      </c>
      <c r="H67" s="50">
        <v>150</v>
      </c>
      <c r="I67" s="317" t="s">
        <v>424</v>
      </c>
      <c r="J67" s="318"/>
    </row>
    <row r="68" spans="1:10">
      <c r="A68" s="13" t="s">
        <v>425</v>
      </c>
      <c r="B68" s="14" t="s">
        <v>426</v>
      </c>
      <c r="C68" s="7" t="s">
        <v>287</v>
      </c>
      <c r="D68" s="34" t="s">
        <v>422</v>
      </c>
      <c r="E68" s="34" t="s">
        <v>427</v>
      </c>
      <c r="G68" s="34" t="s">
        <v>151</v>
      </c>
      <c r="H68" s="50">
        <v>3008</v>
      </c>
      <c r="I68" s="321" t="s">
        <v>428</v>
      </c>
      <c r="J68" s="322"/>
    </row>
    <row r="69" spans="1:10">
      <c r="A69" s="13" t="s">
        <v>425</v>
      </c>
      <c r="B69" s="14" t="s">
        <v>429</v>
      </c>
      <c r="C69" s="7" t="s">
        <v>287</v>
      </c>
      <c r="D69" s="34" t="s">
        <v>422</v>
      </c>
      <c r="E69" s="34" t="s">
        <v>427</v>
      </c>
      <c r="G69" s="34" t="s">
        <v>151</v>
      </c>
      <c r="H69" s="50">
        <v>4301</v>
      </c>
      <c r="I69" s="321"/>
      <c r="J69" s="322"/>
    </row>
    <row r="70" spans="1:10">
      <c r="A70" s="13" t="s">
        <v>425</v>
      </c>
      <c r="B70" s="14" t="s">
        <v>430</v>
      </c>
      <c r="C70" s="7" t="s">
        <v>287</v>
      </c>
      <c r="D70" s="34" t="s">
        <v>422</v>
      </c>
      <c r="E70" s="34" t="s">
        <v>427</v>
      </c>
      <c r="G70" s="34" t="s">
        <v>151</v>
      </c>
      <c r="H70" s="50">
        <v>5593</v>
      </c>
      <c r="I70" s="321"/>
      <c r="J70" s="322"/>
    </row>
    <row r="71" spans="1:10">
      <c r="A71" s="107" t="s">
        <v>431</v>
      </c>
      <c r="B71" s="108" t="s">
        <v>151</v>
      </c>
      <c r="C71" s="12" t="s">
        <v>287</v>
      </c>
      <c r="D71" s="71" t="s">
        <v>422</v>
      </c>
      <c r="E71" s="71"/>
      <c r="F71" s="71"/>
      <c r="G71" s="71"/>
      <c r="H71" s="236"/>
      <c r="I71" s="319" t="s">
        <v>432</v>
      </c>
      <c r="J71" s="320"/>
    </row>
    <row r="72" spans="1:10">
      <c r="B72" s="35"/>
      <c r="C72" s="35"/>
      <c r="D72" s="35"/>
      <c r="E72" s="35"/>
      <c r="F72" s="35"/>
      <c r="G72" s="35"/>
    </row>
    <row r="73" spans="1:10">
      <c r="B73" s="35"/>
      <c r="C73" s="35"/>
      <c r="D73" s="35"/>
      <c r="E73" s="35"/>
      <c r="F73" s="35"/>
      <c r="G73" s="35"/>
    </row>
    <row r="74" spans="1:10">
      <c r="B74" s="35"/>
      <c r="C74" s="35"/>
      <c r="D74" s="35"/>
      <c r="E74" s="35"/>
      <c r="F74" s="35"/>
      <c r="G74" s="35"/>
    </row>
  </sheetData>
  <sheetProtection algorithmName="SHA-512" hashValue="B3fdTHmpZx2PrfIuAsjusSc6MfoHaMHl1MhLd58HOdyK4XhNSK/pPBdP3H8lE4CKrt6U4/is1Buvmt4oyXnFPQ==" saltValue="1V4vyycepVKtmpJd83NLwg==" spinCount="100000" sheet="1" objects="1" scenarios="1" formatColumns="0" formatRows="0"/>
  <mergeCells count="57">
    <mergeCell ref="C22:D22"/>
    <mergeCell ref="E22:F22"/>
    <mergeCell ref="E11:F11"/>
    <mergeCell ref="I22:I23"/>
    <mergeCell ref="F31:G31"/>
    <mergeCell ref="H31:I31"/>
    <mergeCell ref="G11:G12"/>
    <mergeCell ref="G22:G23"/>
    <mergeCell ref="H17:I17"/>
    <mergeCell ref="H16:I16"/>
    <mergeCell ref="H15:I15"/>
    <mergeCell ref="H14:I14"/>
    <mergeCell ref="H13:I13"/>
    <mergeCell ref="F3:H3"/>
    <mergeCell ref="F2:H2"/>
    <mergeCell ref="H11:J12"/>
    <mergeCell ref="H20:I20"/>
    <mergeCell ref="H19:I19"/>
    <mergeCell ref="H18:I18"/>
    <mergeCell ref="F9:H9"/>
    <mergeCell ref="F6:H6"/>
    <mergeCell ref="F8:H8"/>
    <mergeCell ref="F5:H5"/>
    <mergeCell ref="F4:H4"/>
    <mergeCell ref="K24:M24"/>
    <mergeCell ref="K23:M23"/>
    <mergeCell ref="K22:M22"/>
    <mergeCell ref="M38:O38"/>
    <mergeCell ref="M37:O37"/>
    <mergeCell ref="M36:O36"/>
    <mergeCell ref="M35:O35"/>
    <mergeCell ref="M34:O34"/>
    <mergeCell ref="M33:O33"/>
    <mergeCell ref="M32:O32"/>
    <mergeCell ref="M31:O31"/>
    <mergeCell ref="K29:M29"/>
    <mergeCell ref="K28:M28"/>
    <mergeCell ref="K27:M27"/>
    <mergeCell ref="K26:M26"/>
    <mergeCell ref="K25:M25"/>
    <mergeCell ref="I64:J64"/>
    <mergeCell ref="I63:J63"/>
    <mergeCell ref="J51:L51"/>
    <mergeCell ref="J52:L52"/>
    <mergeCell ref="J53:L53"/>
    <mergeCell ref="J54:L54"/>
    <mergeCell ref="J55:L55"/>
    <mergeCell ref="I62:J62"/>
    <mergeCell ref="J56:L56"/>
    <mergeCell ref="J57:L57"/>
    <mergeCell ref="J58:L58"/>
    <mergeCell ref="I61:J61"/>
    <mergeCell ref="I67:J67"/>
    <mergeCell ref="I66:J66"/>
    <mergeCell ref="I65:J65"/>
    <mergeCell ref="I71:J71"/>
    <mergeCell ref="I68:J70"/>
  </mergeCells>
  <phoneticPr fontId="18" type="noConversion"/>
  <hyperlinks>
    <hyperlink ref="J13" r:id="rId1" xr:uid="{45184E95-E860-4941-B69B-72FD66C1953A}"/>
    <hyperlink ref="J18" r:id="rId2" xr:uid="{4C113DBA-D1DE-4779-A3EA-9CC48D5BA97C}"/>
    <hyperlink ref="J15" r:id="rId3" xr:uid="{11170C31-4EA5-497D-A9D9-CB95449D6046}"/>
    <hyperlink ref="I68:J70" r:id="rId4" display="Timmerman et al. (2018) WUR - Verkennende studie naar hittestress bij melkvee tijdens weidegang in gematigde klimaatstreken" xr:uid="{CC46D4DA-AF29-49A7-B41C-53903CF42989}"/>
    <hyperlink ref="I67:J67" r:id="rId5" display="Natuurverdubbelaars &amp; Wij.land (2025) - Onder de Streep " xr:uid="{79725698-4604-4F9B-B267-48813590192D}"/>
    <hyperlink ref="I66:J66" r:id="rId6" display="SNL tarieven en kostprijzen" xr:uid="{4CE4B115-0D83-4D61-B42A-651092CF03AA}"/>
    <hyperlink ref="I64:J64" r:id="rId7" display="SNL tarieven en kostprijzen" xr:uid="{EEBFBFDB-0FDB-4CE0-9932-2A38ECAF9F7D}"/>
    <hyperlink ref="I63:J63" r:id="rId8" display="beheertarieven ANLb RVV" xr:uid="{E29337C7-50B3-42A3-83FB-03FD0FD55035}"/>
    <hyperlink ref="I62:J62" r:id="rId9" display="beheertarieven ANLb RVV" xr:uid="{D90C7A02-72EB-45A7-A0F2-F13E0766EBB6}"/>
    <hyperlink ref="I65:J65" r:id="rId10" display="beheertarieven ANLb RVV" xr:uid="{0AC83380-DDDF-4EC3-909D-D7801B7D1812}"/>
    <hyperlink ref="J19" r:id="rId11" xr:uid="{95F6FE0A-2D87-4E08-B165-CA5D8B3471DB}"/>
  </hyperlinks>
  <pageMargins left="0.7" right="0.7" top="0.75" bottom="0.75" header="0.3" footer="0.3"/>
  <pageSetup orientation="portrait"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3A7F77BC59FB4495A57E987BA3C161" ma:contentTypeVersion="12" ma:contentTypeDescription="Een nieuw document maken." ma:contentTypeScope="" ma:versionID="b18bd1090da04712cbc1236c7ed78345">
  <xsd:schema xmlns:xsd="http://www.w3.org/2001/XMLSchema" xmlns:xs="http://www.w3.org/2001/XMLSchema" xmlns:p="http://schemas.microsoft.com/office/2006/metadata/properties" xmlns:ns2="576dc126-360b-4ee3-84f4-209244e4cf54" xmlns:ns3="2d2adb1a-5d87-40b5-baaa-1b0b4ce49c62" targetNamespace="http://schemas.microsoft.com/office/2006/metadata/properties" ma:root="true" ma:fieldsID="3640442fff7ab7faca183d24321a27ca" ns2:_="" ns3:_="">
    <xsd:import namespace="576dc126-360b-4ee3-84f4-209244e4cf54"/>
    <xsd:import namespace="2d2adb1a-5d87-40b5-baaa-1b0b4ce49c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6dc126-360b-4ee3-84f4-209244e4cf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b0d0039-8007-4f64-8eef-71b83744e30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adb1a-5d87-40b5-baaa-1b0b4ce49c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4aad421-6287-4abd-912a-7da03f4837f3}" ma:internalName="TaxCatchAll" ma:showField="CatchAllData" ma:web="2d2adb1a-5d87-40b5-baaa-1b0b4ce49c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6dc126-360b-4ee3-84f4-209244e4cf54">
      <Terms xmlns="http://schemas.microsoft.com/office/infopath/2007/PartnerControls"/>
    </lcf76f155ced4ddcb4097134ff3c332f>
    <TaxCatchAll xmlns="2d2adb1a-5d87-40b5-baaa-1b0b4ce49c62" xsi:nil="true"/>
  </documentManagement>
</p:properties>
</file>

<file path=customXml/item4.xml><?xml version="1.0" encoding="utf-8"?>
<scriptIds xmlns="http://schemas.microsoft.com/office/extensibility/maker/v1.0" id="script-ids-node-id">
  <scriptId id="ms-officescript%3A%2F%2Fonedrive_business_itemlink%2F01QD73OYAQPHUVSV34TBC2YQNZAJOUYCZI:ms-officescript%3A%2F%2Fonedrive_business_sharinglink%2Fu!aHR0cHM6Ly93aWpsYW5kLW15LnNoYXJlcG9pbnQuY29tLzp1Oi9nL3BlcnNvbmFsL2FfYWRyaWFuaV93aWpfbGFuZC9FUkI1NlZsWGZKaEZyRUc1QWwxTUN5Z0JocTNuV21WcjZuQnBiX3QtcU05R1NR"/>
</scriptIds>
</file>

<file path=customXml/itemProps1.xml><?xml version="1.0" encoding="utf-8"?>
<ds:datastoreItem xmlns:ds="http://schemas.openxmlformats.org/officeDocument/2006/customXml" ds:itemID="{2FD1D620-AC12-493E-9AE6-B9991492B23F}"/>
</file>

<file path=customXml/itemProps2.xml><?xml version="1.0" encoding="utf-8"?>
<ds:datastoreItem xmlns:ds="http://schemas.openxmlformats.org/officeDocument/2006/customXml" ds:itemID="{5C833D79-C8D9-43FA-B1D9-575A4F1BB712}"/>
</file>

<file path=customXml/itemProps3.xml><?xml version="1.0" encoding="utf-8"?>
<ds:datastoreItem xmlns:ds="http://schemas.openxmlformats.org/officeDocument/2006/customXml" ds:itemID="{82F48F37-DAEC-4ADA-8DFE-365962A50D1A}"/>
</file>

<file path=customXml/itemProps4.xml><?xml version="1.0" encoding="utf-8"?>
<ds:datastoreItem xmlns:ds="http://schemas.openxmlformats.org/officeDocument/2006/customXml" ds:itemID="{3CC2EEAF-AAB4-45FD-A96E-8D67F57422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Matthijs Boeschoten</dc:creator>
  <cp:keywords/>
  <dc:description/>
  <cp:lastModifiedBy/>
  <cp:revision/>
  <dcterms:created xsi:type="dcterms:W3CDTF">2025-05-15T09:33:59Z</dcterms:created>
  <dcterms:modified xsi:type="dcterms:W3CDTF">2026-10-08T08:28:20Z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0x0101003F3A7F77BC59FB4495A57E987BA3C161</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